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16290" windowHeight="7050"/>
  </bookViews>
  <sheets>
    <sheet name="各年度歸入權案件進行概況" sheetId="1" r:id="rId1"/>
    <sheet name="各年度未結案件重大金額明細表" sheetId="4" r:id="rId2"/>
    <sheet name="各年度有關公司內部人不予歸入案件" sheetId="8" r:id="rId3"/>
  </sheets>
  <externalReferences>
    <externalReference r:id="rId4"/>
  </externalReferences>
  <definedNames>
    <definedName name="_xlnm.Print_Area" localSheetId="0">各年度歸入權案件進行概況!$A$1:$M$41</definedName>
    <definedName name="_xlnm.Print_Titles" localSheetId="1">各年度未結案件重大金額明細表!$1:$1</definedName>
    <definedName name="_xlnm.Print_Titles" localSheetId="0">各年度歸入權案件進行概況!$1:$1</definedName>
  </definedNames>
  <calcPr calcId="145621"/>
</workbook>
</file>

<file path=xl/calcChain.xml><?xml version="1.0" encoding="utf-8"?>
<calcChain xmlns="http://schemas.openxmlformats.org/spreadsheetml/2006/main">
  <c r="C31" i="4" l="1"/>
  <c r="C30" i="4"/>
  <c r="B30" i="4"/>
  <c r="C29" i="4"/>
  <c r="C28" i="4"/>
  <c r="C27" i="4"/>
  <c r="B27" i="4"/>
  <c r="C26" i="4"/>
  <c r="B26" i="4"/>
  <c r="B40" i="4" s="1"/>
  <c r="C22" i="4"/>
  <c r="B22" i="4"/>
  <c r="C14" i="4"/>
  <c r="E38" i="1"/>
  <c r="C38" i="1"/>
  <c r="B38" i="1"/>
  <c r="H36" i="1"/>
  <c r="C36" i="1"/>
  <c r="B36" i="1"/>
  <c r="J35" i="1"/>
  <c r="H35" i="1"/>
  <c r="C35" i="1"/>
  <c r="B35" i="1"/>
  <c r="K34" i="1"/>
  <c r="J34" i="1"/>
  <c r="H34" i="1"/>
  <c r="E34" i="1"/>
  <c r="D34" i="1"/>
  <c r="C34" i="1"/>
  <c r="B34" i="1"/>
  <c r="M33" i="1"/>
  <c r="L33" i="1"/>
  <c r="K33" i="1"/>
  <c r="J33" i="1"/>
  <c r="I33" i="1"/>
  <c r="H33" i="1"/>
  <c r="E33" i="1"/>
  <c r="D33" i="1"/>
  <c r="C33" i="1"/>
  <c r="B33" i="1"/>
  <c r="M32" i="1"/>
  <c r="L32" i="1"/>
  <c r="K32" i="1"/>
  <c r="J32" i="1"/>
  <c r="E32" i="1"/>
  <c r="D32" i="1"/>
  <c r="C32" i="1"/>
  <c r="B32" i="1"/>
  <c r="M31" i="1"/>
  <c r="L31" i="1"/>
  <c r="K31" i="1"/>
  <c r="J31" i="1"/>
  <c r="H31" i="1"/>
  <c r="G31" i="1"/>
  <c r="F31" i="1"/>
  <c r="E31" i="1"/>
  <c r="D31" i="1"/>
  <c r="C31" i="1"/>
  <c r="B31" i="1"/>
  <c r="M30" i="1"/>
  <c r="K30" i="1"/>
  <c r="J30" i="1"/>
  <c r="I30" i="1"/>
  <c r="H30" i="1"/>
  <c r="F30" i="1"/>
  <c r="E30" i="1"/>
  <c r="D30" i="1"/>
  <c r="C30" i="1"/>
  <c r="B30" i="1"/>
  <c r="M29" i="1"/>
  <c r="L29" i="1"/>
  <c r="K29" i="1"/>
  <c r="J29" i="1"/>
  <c r="H29" i="1"/>
  <c r="G29" i="1"/>
  <c r="F29" i="1"/>
  <c r="E29" i="1"/>
  <c r="D29" i="1"/>
  <c r="C29" i="1"/>
  <c r="B29" i="1"/>
  <c r="M28" i="1"/>
  <c r="L28" i="1"/>
  <c r="K28" i="1"/>
  <c r="J28" i="1"/>
  <c r="I28" i="1"/>
  <c r="H28" i="1"/>
  <c r="G28" i="1"/>
  <c r="G40" i="1" s="1"/>
  <c r="F28" i="1"/>
  <c r="E28" i="1"/>
  <c r="D28" i="1"/>
  <c r="C28" i="1"/>
  <c r="B28" i="1"/>
  <c r="M27" i="1"/>
  <c r="L27" i="1"/>
  <c r="K27" i="1"/>
  <c r="J27" i="1"/>
  <c r="G27" i="1"/>
  <c r="F27" i="1"/>
  <c r="E27" i="1"/>
  <c r="D27" i="1"/>
  <c r="C27" i="1"/>
  <c r="B27" i="1"/>
  <c r="M26" i="1"/>
  <c r="L26" i="1"/>
  <c r="K26" i="1"/>
  <c r="J26" i="1"/>
  <c r="I26" i="1"/>
  <c r="H26" i="1"/>
  <c r="G26" i="1"/>
  <c r="F26" i="1"/>
  <c r="E26" i="1"/>
  <c r="D26" i="1"/>
  <c r="C26" i="1"/>
  <c r="B26" i="1"/>
  <c r="M25" i="1"/>
  <c r="L25" i="1"/>
  <c r="K25" i="1"/>
  <c r="J25" i="1"/>
  <c r="E25" i="1"/>
  <c r="D25" i="1"/>
  <c r="C25" i="1"/>
  <c r="B25" i="1"/>
  <c r="M24" i="1"/>
  <c r="L24" i="1"/>
  <c r="K24" i="1"/>
  <c r="J24" i="1"/>
  <c r="E24" i="1"/>
  <c r="D24" i="1"/>
  <c r="C24" i="1"/>
  <c r="B24" i="1"/>
  <c r="M23" i="1"/>
  <c r="M40" i="1" s="1"/>
  <c r="L23" i="1"/>
  <c r="K23" i="1"/>
  <c r="J23" i="1"/>
  <c r="E23" i="1"/>
  <c r="D23" i="1"/>
  <c r="C23" i="1"/>
  <c r="B23" i="1"/>
  <c r="L22" i="1"/>
  <c r="K22" i="1"/>
  <c r="J22" i="1"/>
  <c r="H22" i="1"/>
  <c r="H40" i="1" s="1"/>
  <c r="F22" i="1"/>
  <c r="F40" i="1" s="1"/>
  <c r="E22" i="1"/>
  <c r="D22" i="1"/>
  <c r="C22" i="1"/>
  <c r="B22" i="1"/>
  <c r="I21" i="1"/>
  <c r="E21" i="1"/>
  <c r="D21" i="1"/>
  <c r="C21" i="1"/>
  <c r="B21" i="1"/>
  <c r="M20" i="1"/>
  <c r="L20" i="1"/>
  <c r="K20" i="1"/>
  <c r="K40" i="1" s="1"/>
  <c r="J20" i="1"/>
  <c r="I20" i="1"/>
  <c r="E20" i="1"/>
  <c r="D20" i="1"/>
  <c r="C20" i="1"/>
  <c r="B20" i="1"/>
  <c r="E19" i="1"/>
  <c r="D19" i="1"/>
  <c r="C19" i="1"/>
  <c r="B19" i="1"/>
  <c r="E18" i="1"/>
  <c r="D18" i="1"/>
  <c r="C18" i="1"/>
  <c r="B18" i="1"/>
  <c r="E17" i="1"/>
  <c r="D17" i="1"/>
  <c r="C17" i="1"/>
  <c r="B17" i="1"/>
  <c r="E16" i="1"/>
  <c r="D16" i="1"/>
  <c r="C16" i="1"/>
  <c r="B16" i="1"/>
  <c r="E15" i="1"/>
  <c r="D15" i="1"/>
  <c r="C15" i="1"/>
  <c r="B15" i="1"/>
  <c r="E14" i="1"/>
  <c r="D14" i="1"/>
  <c r="C14" i="1"/>
  <c r="B14" i="1"/>
  <c r="E13" i="1"/>
  <c r="D13" i="1"/>
  <c r="C13" i="1"/>
  <c r="B13" i="1"/>
  <c r="E12" i="1"/>
  <c r="D12" i="1"/>
  <c r="C12" i="1"/>
  <c r="B12" i="1"/>
  <c r="E11" i="1"/>
  <c r="D11" i="1"/>
  <c r="C11" i="1"/>
  <c r="B11" i="1"/>
  <c r="E10" i="1"/>
  <c r="C10" i="1"/>
  <c r="B10" i="1"/>
  <c r="E9" i="1"/>
  <c r="C9" i="1"/>
  <c r="B9" i="1"/>
  <c r="E8" i="1"/>
  <c r="C8" i="1"/>
  <c r="B8" i="1"/>
  <c r="E7" i="1"/>
  <c r="D7" i="1"/>
  <c r="C7" i="1"/>
  <c r="B7" i="1"/>
  <c r="E6" i="1"/>
  <c r="E5" i="1"/>
  <c r="B40" i="1" l="1"/>
  <c r="L40" i="1"/>
  <c r="C40" i="1"/>
  <c r="D40" i="1"/>
  <c r="J40" i="1"/>
  <c r="I40" i="1"/>
  <c r="C40" i="4"/>
  <c r="E40" i="1"/>
</calcChain>
</file>

<file path=xl/sharedStrings.xml><?xml version="1.0" encoding="utf-8"?>
<sst xmlns="http://schemas.openxmlformats.org/spreadsheetml/2006/main" count="253" uniqueCount="145">
  <si>
    <t>案件年度\類別</t>
    <phoneticPr fontId="2" type="noConversion"/>
  </si>
  <si>
    <t>案件總數</t>
    <phoneticPr fontId="2" type="noConversion"/>
  </si>
  <si>
    <t>應行使金額</t>
    <phoneticPr fontId="2" type="noConversion"/>
  </si>
  <si>
    <t>總結案數</t>
    <phoneticPr fontId="2" type="noConversion"/>
  </si>
  <si>
    <t>已歸入金額</t>
    <phoneticPr fontId="4" type="noConversion"/>
  </si>
  <si>
    <t>未結案數</t>
    <phoneticPr fontId="4" type="noConversion"/>
  </si>
  <si>
    <t>催促行使</t>
    <phoneticPr fontId="2" type="noConversion"/>
  </si>
  <si>
    <t>進入法律程序</t>
    <phoneticPr fontId="2" type="noConversion"/>
  </si>
  <si>
    <t>申復</t>
    <phoneticPr fontId="2" type="noConversion"/>
  </si>
  <si>
    <t>一○三年度第2季結案數</t>
    <phoneticPr fontId="4" type="noConversion"/>
  </si>
  <si>
    <t>一○三年度第2季結案金額</t>
    <phoneticPr fontId="4" type="noConversion"/>
  </si>
  <si>
    <t>一○三年度截至第2季為止結案數</t>
    <phoneticPr fontId="4" type="noConversion"/>
  </si>
  <si>
    <t>一○三年度截至第2季為止結案金額</t>
    <phoneticPr fontId="4" type="noConversion"/>
  </si>
  <si>
    <t>八十三年下半年度</t>
    <phoneticPr fontId="2" type="noConversion"/>
  </si>
  <si>
    <t>八十四年上半年度</t>
    <phoneticPr fontId="2" type="noConversion"/>
  </si>
  <si>
    <t>八十四年下半年度</t>
    <phoneticPr fontId="2" type="noConversion"/>
  </si>
  <si>
    <t>八十五年上半年度</t>
    <phoneticPr fontId="2" type="noConversion"/>
  </si>
  <si>
    <t>八十五年下半年度</t>
    <phoneticPr fontId="2" type="noConversion"/>
  </si>
  <si>
    <t>八十六年上半年度</t>
    <phoneticPr fontId="2" type="noConversion"/>
  </si>
  <si>
    <t>八十六年下半年度</t>
    <phoneticPr fontId="2" type="noConversion"/>
  </si>
  <si>
    <t>八十七年上半年度</t>
    <phoneticPr fontId="4" type="noConversion"/>
  </si>
  <si>
    <t>八十七年下半年度</t>
    <phoneticPr fontId="4" type="noConversion"/>
  </si>
  <si>
    <t>八十八年上半年度</t>
    <phoneticPr fontId="4" type="noConversion"/>
  </si>
  <si>
    <t>八十八年下半年度</t>
    <phoneticPr fontId="4" type="noConversion"/>
  </si>
  <si>
    <t>八十九年上半年度</t>
    <phoneticPr fontId="4" type="noConversion"/>
  </si>
  <si>
    <t>八十九年下半年度</t>
    <phoneticPr fontId="4" type="noConversion"/>
  </si>
  <si>
    <t>九十年上半年度</t>
    <phoneticPr fontId="4" type="noConversion"/>
  </si>
  <si>
    <t>九十年下半年度</t>
    <phoneticPr fontId="4" type="noConversion"/>
  </si>
  <si>
    <t>九十一年上半年度</t>
    <phoneticPr fontId="2" type="noConversion"/>
  </si>
  <si>
    <t>九十一年下半年度</t>
    <phoneticPr fontId="2" type="noConversion"/>
  </si>
  <si>
    <t>九十二年上半年度</t>
    <phoneticPr fontId="2" type="noConversion"/>
  </si>
  <si>
    <t>九十二年下半年度</t>
    <phoneticPr fontId="2" type="noConversion"/>
  </si>
  <si>
    <t>九十三年上半年度</t>
    <phoneticPr fontId="2" type="noConversion"/>
  </si>
  <si>
    <t>九十三年下半年度</t>
    <phoneticPr fontId="2" type="noConversion"/>
  </si>
  <si>
    <t>九十四年上半年度</t>
    <phoneticPr fontId="2" type="noConversion"/>
  </si>
  <si>
    <t>九十四年下半年度</t>
    <phoneticPr fontId="2" type="noConversion"/>
  </si>
  <si>
    <t>九十五年上半年度</t>
    <phoneticPr fontId="2" type="noConversion"/>
  </si>
  <si>
    <t>九十五年下半年度</t>
    <phoneticPr fontId="2" type="noConversion"/>
  </si>
  <si>
    <t>九十六年上半年度</t>
    <phoneticPr fontId="2" type="noConversion"/>
  </si>
  <si>
    <t>九十六年下半年度</t>
    <phoneticPr fontId="2" type="noConversion"/>
  </si>
  <si>
    <t>九十七年上半年度</t>
    <phoneticPr fontId="2" type="noConversion"/>
  </si>
  <si>
    <t>九十七年下半年度</t>
    <phoneticPr fontId="2" type="noConversion"/>
  </si>
  <si>
    <t>九十八年上半年度</t>
    <phoneticPr fontId="2" type="noConversion"/>
  </si>
  <si>
    <t>九十八年下半年度</t>
    <phoneticPr fontId="2" type="noConversion"/>
  </si>
  <si>
    <t>九十九年上半年度</t>
    <phoneticPr fontId="2" type="noConversion"/>
  </si>
  <si>
    <t>九十九年下半年度</t>
    <phoneticPr fontId="2" type="noConversion"/>
  </si>
  <si>
    <t>一○○年上半年度</t>
    <phoneticPr fontId="2" type="noConversion"/>
  </si>
  <si>
    <t>一○○年下半年度</t>
    <phoneticPr fontId="2" type="noConversion"/>
  </si>
  <si>
    <t>一○一年上半年度</t>
    <phoneticPr fontId="2" type="noConversion"/>
  </si>
  <si>
    <t>一○一年下半年度</t>
    <phoneticPr fontId="2" type="noConversion"/>
  </si>
  <si>
    <t>一○二年上半年度</t>
    <phoneticPr fontId="2" type="noConversion"/>
  </si>
  <si>
    <t>總計</t>
    <phoneticPr fontId="2" type="noConversion"/>
  </si>
  <si>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phoneticPr fontId="2" type="noConversion"/>
  </si>
  <si>
    <t>─</t>
    <phoneticPr fontId="2" type="noConversion"/>
  </si>
  <si>
    <t>未結案數</t>
    <phoneticPr fontId="2" type="noConversion"/>
  </si>
  <si>
    <t>未結案金額</t>
    <phoneticPr fontId="2" type="noConversion"/>
  </si>
  <si>
    <t>未結案~金額超過兩千萬元之公司</t>
    <phoneticPr fontId="2" type="noConversion"/>
  </si>
  <si>
    <t>未結案~金額超過兩千萬元之金額</t>
    <phoneticPr fontId="2" type="noConversion"/>
  </si>
  <si>
    <t>八十七年上半年度</t>
    <phoneticPr fontId="2" type="noConversion"/>
  </si>
  <si>
    <t>九十一年上半年度</t>
    <phoneticPr fontId="4" type="noConversion"/>
  </si>
  <si>
    <t>九十一年下半年度</t>
    <phoneticPr fontId="4" type="noConversion"/>
  </si>
  <si>
    <t>九十二年上半年度</t>
    <phoneticPr fontId="4" type="noConversion"/>
  </si>
  <si>
    <t>九十二年下半年度</t>
    <phoneticPr fontId="4" type="noConversion"/>
  </si>
  <si>
    <t>九十三 年上半年度</t>
    <phoneticPr fontId="4" type="noConversion"/>
  </si>
  <si>
    <t>九十三 年下半年度</t>
    <phoneticPr fontId="4" type="noConversion"/>
  </si>
  <si>
    <t>九十四 年上半年度</t>
    <phoneticPr fontId="4" type="noConversion"/>
  </si>
  <si>
    <t>九十四 年下半年度</t>
    <phoneticPr fontId="4" type="noConversion"/>
  </si>
  <si>
    <t>九十五 年上半年度</t>
    <phoneticPr fontId="4" type="noConversion"/>
  </si>
  <si>
    <t>九十五 年下半年度</t>
    <phoneticPr fontId="4" type="noConversion"/>
  </si>
  <si>
    <t>─</t>
    <phoneticPr fontId="2" type="noConversion"/>
  </si>
  <si>
    <t>九十六 年上半年度</t>
    <phoneticPr fontId="4" type="noConversion"/>
  </si>
  <si>
    <t>九十六 年下半年度</t>
    <phoneticPr fontId="4" type="noConversion"/>
  </si>
  <si>
    <t>─</t>
    <phoneticPr fontId="2" type="noConversion"/>
  </si>
  <si>
    <t>九十七 年上半年度</t>
    <phoneticPr fontId="4" type="noConversion"/>
  </si>
  <si>
    <t>九十七 年下半年度</t>
    <phoneticPr fontId="4" type="noConversion"/>
  </si>
  <si>
    <t>─</t>
    <phoneticPr fontId="2" type="noConversion"/>
  </si>
  <si>
    <t>九十八 年上半年度</t>
    <phoneticPr fontId="4" type="noConversion"/>
  </si>
  <si>
    <t>九十八 年下半年度</t>
    <phoneticPr fontId="4" type="noConversion"/>
  </si>
  <si>
    <t>九十九 年上半年度</t>
    <phoneticPr fontId="4" type="noConversion"/>
  </si>
  <si>
    <t>九十九 年下半年度</t>
    <phoneticPr fontId="4" type="noConversion"/>
  </si>
  <si>
    <t>一○○ 年上半年度</t>
    <phoneticPr fontId="4" type="noConversion"/>
  </si>
  <si>
    <t>一○○ 年下半年度</t>
    <phoneticPr fontId="4" type="noConversion"/>
  </si>
  <si>
    <t>一○一 年上半年度</t>
    <phoneticPr fontId="4" type="noConversion"/>
  </si>
  <si>
    <t>一○一 年下半年度</t>
    <phoneticPr fontId="4" type="noConversion"/>
  </si>
  <si>
    <t>一○二 年上半年度</t>
    <phoneticPr fontId="4" type="noConversion"/>
  </si>
  <si>
    <t>總計</t>
    <phoneticPr fontId="2" type="noConversion"/>
  </si>
  <si>
    <t xml:space="preserve"> </t>
    <phoneticPr fontId="2" type="noConversion"/>
  </si>
  <si>
    <t>交易獲利</t>
  </si>
  <si>
    <t>源益農畜企業已撤銷公開發行</t>
  </si>
  <si>
    <t>洪氏英科技</t>
  </si>
  <si>
    <t>洪氏英科技已撤銷公開發行</t>
  </si>
  <si>
    <t>宏傳電子</t>
  </si>
  <si>
    <t>宏傳電子已撤銷公開發行</t>
  </si>
  <si>
    <t>台灣日光燈</t>
  </si>
  <si>
    <t>台灣日光燈已撤銷公開發行</t>
  </si>
  <si>
    <t>勤美</t>
  </si>
  <si>
    <t xml:space="preserve">北基國際  </t>
  </si>
  <si>
    <t>年度</t>
    <phoneticPr fontId="16" type="noConversion"/>
  </si>
  <si>
    <t>件號</t>
    <phoneticPr fontId="16" type="noConversion"/>
  </si>
  <si>
    <t xml:space="preserve">公司名稱 </t>
    <phoneticPr fontId="16" type="noConversion"/>
  </si>
  <si>
    <t>內部人
身分</t>
    <phoneticPr fontId="2" type="noConversion"/>
  </si>
  <si>
    <t>該公司執行情形</t>
    <phoneticPr fontId="16" type="noConversion"/>
  </si>
  <si>
    <t>保護中心執行情形</t>
    <phoneticPr fontId="16" type="noConversion"/>
  </si>
  <si>
    <t>備註</t>
    <phoneticPr fontId="2" type="noConversion"/>
  </si>
  <si>
    <t>89年下半年度上市公司</t>
    <phoneticPr fontId="16" type="noConversion"/>
  </si>
  <si>
    <t>源益農畜企業</t>
    <phoneticPr fontId="16" type="noConversion"/>
  </si>
  <si>
    <t>董事</t>
    <phoneticPr fontId="16" type="noConversion"/>
  </si>
  <si>
    <t>源益董事會決議分24期攤還</t>
    <phoneticPr fontId="16" type="noConversion"/>
  </si>
  <si>
    <t>發存證信函。</t>
    <phoneticPr fontId="16" type="noConversion"/>
  </si>
  <si>
    <t>93年下半年度上櫃公司</t>
    <phoneticPr fontId="16" type="noConversion"/>
  </si>
  <si>
    <t>發存證信函</t>
    <phoneticPr fontId="16" type="noConversion"/>
  </si>
  <si>
    <t>本中心代位訴訟勝訴，95年4月27日判決確定。</t>
    <phoneticPr fontId="16" type="noConversion"/>
  </si>
  <si>
    <t>93年下半年度上市公司</t>
    <phoneticPr fontId="16" type="noConversion"/>
  </si>
  <si>
    <t>董事代表人</t>
    <phoneticPr fontId="16" type="noConversion"/>
  </si>
  <si>
    <t>分期付款</t>
    <phoneticPr fontId="16" type="noConversion"/>
  </si>
  <si>
    <t>本中心代位訴訟勝訴，95年9月15日判決確定。</t>
    <phoneticPr fontId="16" type="noConversion"/>
  </si>
  <si>
    <t>95年下半年度上櫃公司</t>
    <phoneticPr fontId="16" type="noConversion"/>
  </si>
  <si>
    <t>宇加科技(更名前為太萊晶體科技)</t>
    <phoneticPr fontId="16" type="noConversion"/>
  </si>
  <si>
    <t>97年2月4日支付命令確定，公司已採取相關執行程序，惟內部人已無財產可供執行，98年7月21日高雄地院發給債權憑證</t>
    <phoneticPr fontId="16" type="noConversion"/>
  </si>
  <si>
    <t>據宇加公司表示，內部人無財產可供執行，擬持續追蹤金額是否歸入。</t>
    <phoneticPr fontId="16" type="noConversion"/>
  </si>
  <si>
    <t>95年下半年度上市公司</t>
    <phoneticPr fontId="16" type="noConversion"/>
  </si>
  <si>
    <t>已請該公司續行催促行使</t>
    <phoneticPr fontId="16" type="noConversion"/>
  </si>
  <si>
    <t>催促行使。</t>
    <phoneticPr fontId="16" type="noConversion"/>
  </si>
  <si>
    <t>96年上半年度上櫃公司</t>
    <phoneticPr fontId="16" type="noConversion"/>
  </si>
  <si>
    <t>宇加科技(太萊)</t>
    <phoneticPr fontId="16" type="noConversion"/>
  </si>
  <si>
    <t>98年7月29日高雄地院發給支付命令，公司已採取相關執行程序，惟內部人已無財產可供執行，99年2月9日高雄地院發給債權憑證</t>
    <phoneticPr fontId="16" type="noConversion"/>
  </si>
  <si>
    <t>96年下半年度上市公司</t>
    <phoneticPr fontId="16" type="noConversion"/>
  </si>
  <si>
    <t>亞洲化學</t>
    <phoneticPr fontId="16" type="noConversion"/>
  </si>
  <si>
    <t>1.亞化公司之支付命令已於98年8月6日確定
2.公司表示目前進行強制執行程序</t>
    <phoneticPr fontId="16" type="noConversion"/>
  </si>
  <si>
    <t>1.本中心98年4月27日提代位訴訟勝訴，98年9月1日判決確定。
2.98年9月10日函送亞洲化學公司本案判決書及確定證明書正本。
3.據亞洲化學公司表示，目前執行金額有限，擬持續追蹤金額是否歸入。</t>
    <phoneticPr fontId="16" type="noConversion"/>
  </si>
  <si>
    <t>97年上半年度上市公司</t>
    <phoneticPr fontId="16" type="noConversion"/>
  </si>
  <si>
    <t>亞洲化學</t>
    <phoneticPr fontId="2" type="noConversion"/>
  </si>
  <si>
    <t>董事</t>
    <phoneticPr fontId="2" type="noConversion"/>
  </si>
  <si>
    <t>97年下半年度上市公司</t>
    <phoneticPr fontId="16" type="noConversion"/>
  </si>
  <si>
    <t>98年上半年度上市公司</t>
    <phoneticPr fontId="16" type="noConversion"/>
  </si>
  <si>
    <t>1.99年2月4日亞化公司聲請支付命令，該支付命令已於99年3月4日確定
2.公司表示目前進行強制執行程序</t>
    <phoneticPr fontId="16" type="noConversion"/>
  </si>
  <si>
    <t>據亞洲化學公司表示，目前執行金額有限，擬持續追蹤金額是否歸入。</t>
    <phoneticPr fontId="16" type="noConversion"/>
  </si>
  <si>
    <t>102年上半年度上市公司</t>
    <phoneticPr fontId="2" type="noConversion"/>
  </si>
  <si>
    <t>經理人</t>
    <phoneticPr fontId="2" type="noConversion"/>
  </si>
  <si>
    <t>該公司已於103年3月12日向臺灣臺北地方法院提起民事訴訟。</t>
    <phoneticPr fontId="2" type="noConversion"/>
  </si>
  <si>
    <t>於103年4月1日參加訴訟。</t>
    <phoneticPr fontId="2" type="noConversion"/>
  </si>
  <si>
    <t>102年上半年度上(興)櫃公司</t>
    <phoneticPr fontId="2" type="noConversion"/>
  </si>
  <si>
    <t>大股東</t>
    <phoneticPr fontId="2" type="noConversion"/>
  </si>
  <si>
    <t>該大股東(公司)於103年5月8日來函表示於102年7月15日經股東會決議解散，並已進入清算程序，且公司負債遠大於資產，相關具體資產已設定擔保遭拍賣中，故已無力償還。</t>
    <phoneticPr fontId="2" type="noConversion"/>
  </si>
  <si>
    <t>因符合本中心解除列管標準之案件，擬陳報主管機關核備後解除列管。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</si>
</sst>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76" formatCode="_(* #,##0.00_);_(* \(#,##0.00\);_(* &quot;-&quot;??_);_(@_)"/>
    <numFmt numFmtId="177" formatCode="#,##0_ "/>
    <numFmt numFmtId="178" formatCode="#,##0_);\(#,##0\)"/>
    <numFmt numFmtId="179" formatCode="#,##0_);[Red]\(#,##0\)"/>
  </numFmts>
  <fonts count="20">
    <font>
      <sz val="12"/>
      <name val="新細明體"/>
      <family val="1"/>
      <charset val="136"/>
    </font>
    <font>
      <sz val="12"/>
      <name val="Times New Roman"/>
      <family val="1"/>
    </font>
    <font>
      <sz val="9"/>
      <name val="新細明體"/>
      <family val="1"/>
      <charset val="136"/>
    </font>
    <font>
      <sz val="9"/>
      <name val="新細明體"/>
      <family val="2"/>
      <charset val="136"/>
      <scheme val="minor"/>
    </font>
    <font>
      <u/>
      <sz val="12"/>
      <color indexed="36"/>
      <name val="新細明體"/>
      <family val="1"/>
      <charset val="136"/>
    </font>
    <font>
      <sz val="10"/>
      <name val="新細明體"/>
      <family val="1"/>
      <charset val="136"/>
    </font>
    <font>
      <sz val="11"/>
      <name val="新細明體"/>
      <family val="1"/>
      <charset val="136"/>
    </font>
    <font>
      <u/>
      <sz val="11"/>
      <color rgb="FFFF0000"/>
      <name val="新細明體"/>
      <family val="1"/>
      <charset val="136"/>
    </font>
    <font>
      <sz val="12"/>
      <name val="新細明體"/>
      <family val="1"/>
      <charset val="136"/>
    </font>
    <font>
      <u/>
      <sz val="12"/>
      <color rgb="FFFF0000"/>
      <name val="新細明體"/>
      <family val="1"/>
      <charset val="136"/>
    </font>
    <font>
      <sz val="8"/>
      <name val="新細明體"/>
      <family val="1"/>
      <charset val="136"/>
    </font>
    <font>
      <b/>
      <sz val="10"/>
      <name val="新細明體"/>
      <family val="1"/>
      <charset val="136"/>
    </font>
    <font>
      <b/>
      <sz val="11"/>
      <name val="新細明體"/>
      <family val="1"/>
      <charset val="136"/>
    </font>
    <font>
      <b/>
      <u/>
      <sz val="11"/>
      <color rgb="FFFF0000"/>
      <name val="新細明體"/>
      <family val="1"/>
      <charset val="136"/>
    </font>
    <font>
      <b/>
      <sz val="10"/>
      <color rgb="FFFF0000"/>
      <name val="新細明體"/>
      <family val="1"/>
      <charset val="136"/>
    </font>
    <font>
      <b/>
      <sz val="11"/>
      <color theme="1"/>
      <name val="新細明體"/>
      <family val="1"/>
      <charset val="136"/>
    </font>
    <font>
      <sz val="9"/>
      <name val="細明體"/>
      <family val="3"/>
      <charset val="136"/>
    </font>
    <font>
      <sz val="10"/>
      <color theme="1"/>
      <name val="新細明體"/>
      <family val="1"/>
      <charset val="136"/>
      <scheme val="major"/>
    </font>
    <font>
      <sz val="10"/>
      <name val="新細明體"/>
      <family val="1"/>
      <charset val="136"/>
      <scheme val="major"/>
    </font>
    <font>
      <sz val="10"/>
      <color indexed="8"/>
      <name val="新細明體"/>
      <family val="1"/>
      <charset val="136"/>
      <scheme val="maj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176" fontId="1" fillId="0" borderId="0" applyFont="0" applyFill="0" applyBorder="0" applyAlignment="0" applyProtection="0"/>
    <xf numFmtId="43" fontId="8" fillId="0" borderId="0" applyFont="0" applyFill="0" applyBorder="0" applyAlignment="0" applyProtection="0"/>
    <xf numFmtId="0" fontId="8" fillId="0" borderId="0">
      <alignment vertical="center"/>
    </xf>
    <xf numFmtId="0" fontId="8" fillId="0" borderId="0"/>
  </cellStyleXfs>
  <cellXfs count="99">
    <xf numFmtId="0" fontId="0" fillId="0" borderId="0" xfId="0"/>
    <xf numFmtId="0" fontId="2" fillId="2" borderId="1" xfId="1" applyFont="1" applyFill="1" applyBorder="1" applyAlignment="1">
      <alignment horizontal="center" vertical="center"/>
    </xf>
    <xf numFmtId="3" fontId="2" fillId="2" borderId="1" xfId="1" applyNumberFormat="1"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protection locked="0"/>
    </xf>
    <xf numFmtId="0" fontId="2" fillId="2" borderId="1" xfId="1" applyFont="1" applyFill="1" applyBorder="1" applyAlignment="1">
      <alignment horizontal="center" vertical="center" wrapText="1"/>
    </xf>
    <xf numFmtId="0" fontId="2" fillId="3" borderId="0" xfId="1" applyFont="1" applyFill="1"/>
    <xf numFmtId="0" fontId="5"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37" fontId="6" fillId="0" borderId="1" xfId="2" applyNumberFormat="1" applyFont="1" applyFill="1" applyBorder="1" applyAlignment="1">
      <alignment horizontal="center" vertical="center"/>
    </xf>
    <xf numFmtId="3" fontId="6" fillId="0" borderId="1" xfId="1" applyNumberFormat="1" applyFont="1" applyFill="1" applyBorder="1" applyAlignment="1" applyProtection="1">
      <alignment horizontal="center" vertical="center"/>
      <protection locked="0"/>
    </xf>
    <xf numFmtId="37" fontId="6" fillId="0" borderId="1" xfId="1" applyNumberFormat="1" applyFont="1" applyFill="1" applyBorder="1" applyAlignment="1">
      <alignment horizontal="center" vertical="center"/>
    </xf>
    <xf numFmtId="0" fontId="5" fillId="0" borderId="0" xfId="1" applyFont="1" applyFill="1"/>
    <xf numFmtId="0" fontId="6" fillId="0" borderId="1" xfId="1" applyFont="1" applyFill="1" applyBorder="1" applyAlignment="1" applyProtection="1">
      <alignment horizontal="center" vertical="center"/>
      <protection locked="0"/>
    </xf>
    <xf numFmtId="3" fontId="6" fillId="0" borderId="1" xfId="1" applyNumberFormat="1" applyFont="1" applyFill="1" applyBorder="1" applyAlignment="1">
      <alignment horizontal="center" vertical="center"/>
    </xf>
    <xf numFmtId="3" fontId="7" fillId="0" borderId="1" xfId="1" applyNumberFormat="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protection locked="0"/>
    </xf>
    <xf numFmtId="0" fontId="7" fillId="0" borderId="1" xfId="1" applyFont="1" applyFill="1" applyBorder="1" applyAlignment="1">
      <alignment horizontal="center" vertical="center"/>
    </xf>
    <xf numFmtId="3" fontId="9" fillId="0" borderId="1" xfId="0" applyNumberFormat="1" applyFont="1" applyBorder="1" applyAlignment="1">
      <alignment horizontal="center" vertical="center"/>
    </xf>
    <xf numFmtId="3" fontId="6" fillId="0" borderId="1" xfId="0" applyNumberFormat="1" applyFont="1" applyFill="1" applyBorder="1" applyAlignment="1">
      <alignment horizontal="center" vertical="center"/>
    </xf>
    <xf numFmtId="3" fontId="5" fillId="0" borderId="0" xfId="1" applyNumberFormat="1" applyFont="1" applyFill="1"/>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1" applyFont="1" applyFill="1"/>
    <xf numFmtId="0" fontId="5" fillId="0" borderId="0" xfId="1" applyFont="1" applyAlignment="1">
      <alignment vertical="center"/>
    </xf>
    <xf numFmtId="3" fontId="5" fillId="0" borderId="0" xfId="1" applyNumberFormat="1" applyFont="1"/>
    <xf numFmtId="0" fontId="5" fillId="0" borderId="0" xfId="1" applyFont="1" applyAlignment="1" applyProtection="1">
      <protection locked="0"/>
    </xf>
    <xf numFmtId="0" fontId="5" fillId="0" borderId="0" xfId="1" applyFont="1"/>
    <xf numFmtId="0" fontId="5" fillId="0" borderId="0" xfId="1" applyFont="1" applyAlignment="1">
      <alignment horizontal="center"/>
    </xf>
    <xf numFmtId="0" fontId="5" fillId="0" borderId="0" xfId="1" applyFont="1" applyAlignment="1">
      <alignment horizontal="left" indent="1"/>
    </xf>
    <xf numFmtId="37" fontId="5" fillId="0" borderId="0" xfId="1" applyNumberFormat="1" applyFont="1"/>
    <xf numFmtId="4" fontId="5" fillId="0" borderId="0" xfId="1" applyNumberFormat="1" applyFont="1"/>
    <xf numFmtId="0" fontId="8" fillId="0" borderId="0" xfId="1" applyFont="1"/>
    <xf numFmtId="0" fontId="8" fillId="0" borderId="0" xfId="1" applyFont="1" applyAlignment="1">
      <alignment horizontal="center"/>
    </xf>
    <xf numFmtId="3" fontId="8" fillId="0" borderId="0" xfId="1" applyNumberFormat="1" applyFont="1"/>
    <xf numFmtId="0" fontId="8" fillId="0" borderId="0" xfId="1" applyFont="1" applyAlignment="1" applyProtection="1">
      <protection locked="0"/>
    </xf>
    <xf numFmtId="0" fontId="5" fillId="2" borderId="1" xfId="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protection locked="0"/>
    </xf>
    <xf numFmtId="0" fontId="11" fillId="0" borderId="1" xfId="1" applyFont="1" applyFill="1" applyBorder="1" applyAlignment="1">
      <alignment horizontal="center" vertical="center" wrapText="1"/>
    </xf>
    <xf numFmtId="0" fontId="8" fillId="0" borderId="0" xfId="0" applyFont="1" applyFill="1"/>
    <xf numFmtId="0" fontId="8" fillId="0" borderId="0" xfId="0" applyFont="1"/>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wrapText="1"/>
    </xf>
    <xf numFmtId="0" fontId="8" fillId="3" borderId="0" xfId="0" applyFont="1" applyFill="1"/>
    <xf numFmtId="0" fontId="12" fillId="0" borderId="1" xfId="1" applyFont="1" applyFill="1" applyBorder="1" applyAlignment="1">
      <alignment horizontal="center" vertical="center"/>
    </xf>
    <xf numFmtId="0" fontId="11" fillId="0" borderId="1" xfId="1" applyFont="1" applyFill="1" applyBorder="1" applyAlignment="1">
      <alignment horizontal="center" vertical="center"/>
    </xf>
    <xf numFmtId="0" fontId="12" fillId="0" borderId="1" xfId="1" applyFont="1" applyFill="1" applyBorder="1" applyAlignment="1" applyProtection="1">
      <alignment horizontal="center" vertical="center"/>
      <protection locked="0"/>
    </xf>
    <xf numFmtId="3" fontId="12" fillId="0" borderId="1"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wrapText="1"/>
    </xf>
    <xf numFmtId="0" fontId="13" fillId="0" borderId="1" xfId="1" applyFont="1" applyFill="1" applyBorder="1" applyAlignment="1" applyProtection="1">
      <alignment horizontal="center" vertical="center"/>
      <protection locked="0"/>
    </xf>
    <xf numFmtId="3" fontId="13" fillId="0" borderId="1" xfId="0" applyNumberFormat="1" applyFont="1" applyFill="1" applyBorder="1" applyAlignment="1">
      <alignment horizontal="center" vertical="center"/>
    </xf>
    <xf numFmtId="0" fontId="14" fillId="0" borderId="1" xfId="1" applyFont="1" applyFill="1" applyBorder="1" applyAlignment="1">
      <alignment horizontal="center" vertical="center"/>
    </xf>
    <xf numFmtId="0" fontId="8" fillId="0" borderId="0" xfId="0" applyFont="1" applyFill="1" applyAlignment="1"/>
    <xf numFmtId="0" fontId="15" fillId="0" borderId="1" xfId="1" applyFont="1" applyFill="1" applyBorder="1" applyAlignment="1">
      <alignment horizontal="center" vertical="center"/>
    </xf>
    <xf numFmtId="3" fontId="15" fillId="0" borderId="1" xfId="0" applyNumberFormat="1" applyFont="1" applyFill="1" applyBorder="1" applyAlignment="1">
      <alignment horizontal="center" vertical="center"/>
    </xf>
    <xf numFmtId="0" fontId="8" fillId="0" borderId="0" xfId="0" applyFont="1" applyAlignment="1">
      <alignment horizont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shrinkToFit="1"/>
    </xf>
    <xf numFmtId="0" fontId="18" fillId="2" borderId="1" xfId="0" applyFont="1" applyFill="1" applyBorder="1" applyAlignment="1">
      <alignment horizontal="center" vertical="center" wrapText="1" shrinkToFit="1"/>
    </xf>
    <xf numFmtId="178" fontId="17"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3" fontId="17"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3"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1" xfId="0" applyFont="1" applyBorder="1" applyAlignment="1">
      <alignment horizontal="center" vertical="center" wrapText="1" shrinkToFit="1"/>
    </xf>
    <xf numFmtId="178"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xf>
    <xf numFmtId="3" fontId="17" fillId="0" borderId="1" xfId="0" applyNumberFormat="1" applyFont="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78" fontId="17" fillId="0" borderId="1" xfId="0" applyNumberFormat="1" applyFont="1" applyFill="1" applyBorder="1" applyAlignment="1">
      <alignment horizontal="center" vertical="center" wrapText="1"/>
    </xf>
    <xf numFmtId="3" fontId="18" fillId="0" borderId="1" xfId="0" applyNumberFormat="1" applyFont="1" applyBorder="1" applyAlignment="1">
      <alignment horizontal="center" vertical="center" wrapText="1"/>
    </xf>
    <xf numFmtId="0" fontId="17" fillId="0" borderId="1" xfId="0" applyFont="1" applyFill="1" applyBorder="1" applyAlignment="1">
      <alignment horizontal="left" vertical="center" wrapText="1"/>
    </xf>
    <xf numFmtId="1" fontId="18" fillId="0" borderId="1" xfId="0" applyNumberFormat="1" applyFont="1" applyFill="1" applyBorder="1" applyAlignment="1">
      <alignment horizontal="center" vertical="center" wrapText="1" shrinkToFit="1"/>
    </xf>
    <xf numFmtId="3" fontId="17" fillId="0" borderId="1" xfId="0" applyNumberFormat="1" applyFont="1" applyBorder="1" applyAlignment="1">
      <alignment horizontal="left" vertical="center" wrapText="1"/>
    </xf>
    <xf numFmtId="0" fontId="18" fillId="0" borderId="3" xfId="0" applyFont="1" applyBorder="1" applyAlignment="1">
      <alignment horizontal="center" vertical="center" wrapText="1"/>
    </xf>
    <xf numFmtId="0" fontId="18"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179" fontId="18" fillId="0" borderId="1" xfId="0" applyNumberFormat="1" applyFont="1" applyFill="1" applyBorder="1" applyAlignment="1">
      <alignment horizontal="center" vertical="center" wrapText="1"/>
    </xf>
    <xf numFmtId="178" fontId="19" fillId="4" borderId="1" xfId="0" applyNumberFormat="1" applyFont="1" applyFill="1" applyBorder="1" applyAlignment="1">
      <alignment horizontal="left" vertical="center" wrapText="1"/>
    </xf>
    <xf numFmtId="178" fontId="18" fillId="0" borderId="1" xfId="0" applyNumberFormat="1" applyFont="1" applyFill="1" applyBorder="1" applyAlignment="1">
      <alignment horizontal="left" vertical="center" wrapText="1"/>
    </xf>
    <xf numFmtId="0" fontId="18" fillId="0" borderId="1" xfId="0" applyFont="1" applyBorder="1" applyAlignment="1">
      <alignment vertical="center" wrapText="1"/>
    </xf>
    <xf numFmtId="0" fontId="18" fillId="0" borderId="1" xfId="4" applyFont="1" applyFill="1" applyBorder="1" applyAlignment="1">
      <alignment horizontal="center" vertical="center"/>
    </xf>
    <xf numFmtId="0" fontId="18" fillId="0" borderId="1" xfId="4" applyFont="1" applyFill="1" applyBorder="1" applyAlignment="1">
      <alignment vertical="center" wrapText="1"/>
    </xf>
    <xf numFmtId="177" fontId="18" fillId="0" borderId="1" xfId="3" applyNumberFormat="1" applyFont="1" applyFill="1" applyBorder="1" applyAlignment="1">
      <alignment horizontal="center" vertical="center" wrapText="1"/>
    </xf>
    <xf numFmtId="0" fontId="18" fillId="0" borderId="0" xfId="0" applyFont="1" applyBorder="1" applyAlignment="1">
      <alignment horizontal="center" vertical="center" wrapText="1"/>
    </xf>
    <xf numFmtId="178" fontId="17" fillId="0" borderId="0"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10" fillId="0" borderId="2" xfId="1" applyFont="1" applyFill="1" applyBorder="1" applyAlignment="1">
      <alignment horizontal="left" wrapText="1"/>
    </xf>
    <xf numFmtId="0" fontId="5" fillId="0" borderId="2" xfId="1" applyFont="1" applyFill="1" applyBorder="1" applyAlignment="1">
      <alignment horizontal="left" wrapText="1"/>
    </xf>
    <xf numFmtId="0" fontId="5" fillId="0" borderId="0" xfId="1" applyFont="1" applyAlignment="1" applyProtection="1">
      <alignment horizontal="left" wrapText="1"/>
      <protection locked="0"/>
    </xf>
    <xf numFmtId="0" fontId="5" fillId="0" borderId="0" xfId="1" applyFont="1" applyAlignment="1">
      <alignment horizontal="center"/>
    </xf>
  </cellXfs>
  <cellStyles count="6">
    <cellStyle name="一般" xfId="0" builtinId="0"/>
    <cellStyle name="一般 2" xfId="5"/>
    <cellStyle name="一般 3" xfId="4"/>
    <cellStyle name="一般_PROCEED" xfId="1"/>
    <cellStyle name="千分位 2" xfId="3"/>
    <cellStyle name="千分位_PROCEED"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27861;&#24459;&#26381;&#21209;&#34389;\&#20108;&#32068;\INSIDER\&#22577;&#26371;&#22577;&#34920;\&#27599;&#26376;&#24409;&#32317;&#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row r="70">
          <cell r="H70">
            <v>10544356</v>
          </cell>
        </row>
      </sheetData>
      <sheetData sheetId="171"/>
      <sheetData sheetId="172"/>
      <sheetData sheetId="173"/>
      <sheetData sheetId="174"/>
      <sheetData sheetId="175"/>
      <sheetData sheetId="176"/>
      <sheetData sheetId="177"/>
      <sheetData sheetId="178"/>
      <sheetData sheetId="17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zoomScale="90" zoomScaleNormal="90" workbookViewId="0">
      <pane ySplit="1" topLeftCell="A2" activePane="bottomLeft" state="frozen"/>
      <selection pane="bottomLeft" activeCell="H18" sqref="H18"/>
    </sheetView>
  </sheetViews>
  <sheetFormatPr defaultColWidth="9" defaultRowHeight="30" customHeight="1"/>
  <cols>
    <col min="1" max="1" width="19.25" style="31" customWidth="1"/>
    <col min="2" max="2" width="10.5" style="31" customWidth="1"/>
    <col min="3" max="3" width="15.625" style="32" customWidth="1"/>
    <col min="4" max="4" width="10.5" style="33" customWidth="1"/>
    <col min="5" max="5" width="15.875" style="34" customWidth="1"/>
    <col min="6" max="6" width="10.875" style="31" customWidth="1"/>
    <col min="7" max="7" width="10.5" style="31" customWidth="1"/>
    <col min="8" max="8" width="12.5" style="31" customWidth="1"/>
    <col min="9" max="9" width="8.875" style="31" customWidth="1"/>
    <col min="10" max="10" width="16" style="31" customWidth="1"/>
    <col min="11" max="11" width="17.625" style="31" customWidth="1"/>
    <col min="12" max="12" width="15" style="31" customWidth="1"/>
    <col min="13" max="13" width="16.25" style="31" customWidth="1"/>
    <col min="14" max="14" width="12.25" style="31" customWidth="1"/>
    <col min="15" max="16384" width="9" style="31"/>
  </cols>
  <sheetData>
    <row r="1" spans="1:13" s="5" customFormat="1" ht="32.25" customHeight="1">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95" customHeight="1">
      <c r="A2" s="6" t="s">
        <v>13</v>
      </c>
      <c r="B2" s="7">
        <v>84</v>
      </c>
      <c r="C2" s="8">
        <v>80270024</v>
      </c>
      <c r="D2" s="9">
        <v>84</v>
      </c>
      <c r="E2" s="10">
        <v>77717537</v>
      </c>
      <c r="F2" s="7">
        <v>0</v>
      </c>
      <c r="G2" s="7">
        <v>0</v>
      </c>
      <c r="H2" s="7">
        <v>0</v>
      </c>
      <c r="I2" s="7">
        <v>0</v>
      </c>
      <c r="J2" s="7">
        <v>0</v>
      </c>
      <c r="K2" s="7">
        <v>0</v>
      </c>
      <c r="L2" s="7">
        <v>0</v>
      </c>
      <c r="M2" s="7">
        <v>0</v>
      </c>
    </row>
    <row r="3" spans="1:13" s="11" customFormat="1" ht="24.95" customHeight="1">
      <c r="A3" s="6" t="s">
        <v>14</v>
      </c>
      <c r="B3" s="7">
        <v>57</v>
      </c>
      <c r="C3" s="8">
        <v>20495283</v>
      </c>
      <c r="D3" s="9">
        <v>57</v>
      </c>
      <c r="E3" s="10">
        <v>18659741</v>
      </c>
      <c r="F3" s="12">
        <v>0</v>
      </c>
      <c r="G3" s="7">
        <v>0</v>
      </c>
      <c r="H3" s="7">
        <v>0</v>
      </c>
      <c r="I3" s="7">
        <v>0</v>
      </c>
      <c r="J3" s="7">
        <v>0</v>
      </c>
      <c r="K3" s="7">
        <v>0</v>
      </c>
      <c r="L3" s="7">
        <v>0</v>
      </c>
      <c r="M3" s="7">
        <v>0</v>
      </c>
    </row>
    <row r="4" spans="1:13" s="11" customFormat="1" ht="24.95" customHeight="1">
      <c r="A4" s="6" t="s">
        <v>15</v>
      </c>
      <c r="B4" s="7">
        <v>129</v>
      </c>
      <c r="C4" s="8">
        <v>63325559</v>
      </c>
      <c r="D4" s="9">
        <v>129</v>
      </c>
      <c r="E4" s="10">
        <v>54518849</v>
      </c>
      <c r="F4" s="12">
        <v>0</v>
      </c>
      <c r="G4" s="7">
        <v>0</v>
      </c>
      <c r="H4" s="7">
        <v>0</v>
      </c>
      <c r="I4" s="7">
        <v>0</v>
      </c>
      <c r="J4" s="7">
        <v>0</v>
      </c>
      <c r="K4" s="7">
        <v>0</v>
      </c>
      <c r="L4" s="7">
        <v>0</v>
      </c>
      <c r="M4" s="7">
        <v>0</v>
      </c>
    </row>
    <row r="5" spans="1:13" s="11" customFormat="1" ht="24.95" customHeight="1">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95" customHeight="1">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95" customHeight="1">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95" customHeight="1">
      <c r="A8" s="6" t="s">
        <v>19</v>
      </c>
      <c r="B8" s="7">
        <f>78+114</f>
        <v>192</v>
      </c>
      <c r="C8" s="10">
        <f>14633964+132492800</f>
        <v>147126764</v>
      </c>
      <c r="D8" s="14">
        <v>192</v>
      </c>
      <c r="E8" s="10">
        <f>15447671+40035876+73117+17840142</f>
        <v>73396806</v>
      </c>
      <c r="F8" s="15">
        <v>0</v>
      </c>
      <c r="G8" s="7">
        <v>0</v>
      </c>
      <c r="H8" s="15">
        <v>0</v>
      </c>
      <c r="I8" s="7">
        <v>0</v>
      </c>
      <c r="J8" s="16">
        <v>2</v>
      </c>
      <c r="K8" s="17">
        <v>74092725</v>
      </c>
      <c r="L8" s="16">
        <v>2</v>
      </c>
      <c r="M8" s="17">
        <v>74092725</v>
      </c>
    </row>
    <row r="9" spans="1:13" s="11" customFormat="1" ht="24.95" customHeight="1">
      <c r="A9" s="6" t="s">
        <v>20</v>
      </c>
      <c r="B9" s="7">
        <f>72+104</f>
        <v>176</v>
      </c>
      <c r="C9" s="10">
        <f>57658098+769163861</f>
        <v>826821959</v>
      </c>
      <c r="D9" s="14">
        <v>176</v>
      </c>
      <c r="E9" s="10">
        <f>30220073+38490724+3248960</f>
        <v>71959757</v>
      </c>
      <c r="F9" s="15">
        <v>0</v>
      </c>
      <c r="G9" s="7">
        <v>0</v>
      </c>
      <c r="H9" s="15">
        <v>0</v>
      </c>
      <c r="I9" s="7">
        <v>0</v>
      </c>
      <c r="J9" s="16">
        <v>3</v>
      </c>
      <c r="K9" s="17">
        <v>712268017</v>
      </c>
      <c r="L9" s="16">
        <v>3</v>
      </c>
      <c r="M9" s="17">
        <v>712268017</v>
      </c>
    </row>
    <row r="10" spans="1:13" s="11" customFormat="1" ht="24.95" customHeight="1">
      <c r="A10" s="6" t="s">
        <v>21</v>
      </c>
      <c r="B10" s="7">
        <f>84+93</f>
        <v>177</v>
      </c>
      <c r="C10" s="10">
        <f>13142131+146152106</f>
        <v>159294237</v>
      </c>
      <c r="D10" s="14">
        <v>177</v>
      </c>
      <c r="E10" s="10">
        <f>13138335+26186486+12039</f>
        <v>39336860</v>
      </c>
      <c r="F10" s="15">
        <v>0</v>
      </c>
      <c r="G10" s="7">
        <v>0</v>
      </c>
      <c r="H10" s="15">
        <v>0</v>
      </c>
      <c r="I10" s="7">
        <v>0</v>
      </c>
      <c r="J10" s="16">
        <v>3</v>
      </c>
      <c r="K10" s="17">
        <v>110282590</v>
      </c>
      <c r="L10" s="16">
        <v>3</v>
      </c>
      <c r="M10" s="17">
        <v>110282590</v>
      </c>
    </row>
    <row r="11" spans="1:13" s="11" customFormat="1" ht="24.95" customHeight="1">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95" customHeight="1">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95" customHeight="1">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11" customFormat="1" ht="24.95" customHeight="1">
      <c r="A14" s="6" t="s">
        <v>25</v>
      </c>
      <c r="B14" s="7">
        <f>108+88</f>
        <v>196</v>
      </c>
      <c r="C14" s="10">
        <f>75738345+27500010</f>
        <v>103238355</v>
      </c>
      <c r="D14" s="13">
        <f>108+86</f>
        <v>194</v>
      </c>
      <c r="E14" s="13">
        <f>70691250+15940775+6941+344495</f>
        <v>86983461</v>
      </c>
      <c r="F14" s="7">
        <v>2</v>
      </c>
      <c r="G14" s="7">
        <v>2</v>
      </c>
      <c r="H14" s="7">
        <v>0</v>
      </c>
      <c r="I14" s="7">
        <v>0</v>
      </c>
      <c r="J14" s="7">
        <v>0</v>
      </c>
      <c r="K14" s="18">
        <v>0</v>
      </c>
      <c r="L14" s="7">
        <v>0</v>
      </c>
      <c r="M14" s="18">
        <v>0</v>
      </c>
    </row>
    <row r="15" spans="1:13" s="11" customFormat="1" ht="24.95" customHeight="1">
      <c r="A15" s="6" t="s">
        <v>26</v>
      </c>
      <c r="B15" s="7">
        <f>90+84</f>
        <v>174</v>
      </c>
      <c r="C15" s="10">
        <f>19925901+11480427</f>
        <v>31406328</v>
      </c>
      <c r="D15" s="13">
        <f>90+84</f>
        <v>174</v>
      </c>
      <c r="E15" s="13">
        <f>19916246+8726032+1033760</f>
        <v>29676038</v>
      </c>
      <c r="F15" s="7">
        <v>0</v>
      </c>
      <c r="G15" s="7">
        <v>0</v>
      </c>
      <c r="H15" s="7">
        <v>0</v>
      </c>
      <c r="I15" s="7">
        <v>0</v>
      </c>
      <c r="J15" s="7">
        <v>0</v>
      </c>
      <c r="K15" s="18">
        <v>0</v>
      </c>
      <c r="L15" s="7">
        <v>0</v>
      </c>
      <c r="M15" s="18">
        <v>0</v>
      </c>
    </row>
    <row r="16" spans="1:13" s="11" customFormat="1" ht="24.95" customHeight="1">
      <c r="A16" s="6" t="s">
        <v>27</v>
      </c>
      <c r="B16" s="7">
        <f>75+72</f>
        <v>147</v>
      </c>
      <c r="C16" s="10">
        <f>16590630+35978023</f>
        <v>52568653</v>
      </c>
      <c r="D16" s="13">
        <f>75+72</f>
        <v>147</v>
      </c>
      <c r="E16" s="13">
        <f>16590630+34557533+1388617</f>
        <v>52536780</v>
      </c>
      <c r="F16" s="7">
        <v>0</v>
      </c>
      <c r="G16" s="7">
        <v>0</v>
      </c>
      <c r="H16" s="7">
        <v>0</v>
      </c>
      <c r="I16" s="7">
        <v>0</v>
      </c>
      <c r="J16" s="7">
        <v>0</v>
      </c>
      <c r="K16" s="18">
        <v>0</v>
      </c>
      <c r="L16" s="7">
        <v>0</v>
      </c>
      <c r="M16" s="18">
        <v>0</v>
      </c>
    </row>
    <row r="17" spans="1:14" s="11" customFormat="1" ht="24.95" customHeight="1">
      <c r="A17" s="6" t="s">
        <v>28</v>
      </c>
      <c r="B17" s="7">
        <f>108+91</f>
        <v>199</v>
      </c>
      <c r="C17" s="10">
        <f>29635559+53978544</f>
        <v>83614103</v>
      </c>
      <c r="D17" s="13">
        <f>108+91</f>
        <v>199</v>
      </c>
      <c r="E17" s="13">
        <f>29635559+40313963+12275066</f>
        <v>82224588</v>
      </c>
      <c r="F17" s="7">
        <v>0</v>
      </c>
      <c r="G17" s="7">
        <v>0</v>
      </c>
      <c r="H17" s="7">
        <v>0</v>
      </c>
      <c r="I17" s="7">
        <v>0</v>
      </c>
      <c r="J17" s="7">
        <v>0</v>
      </c>
      <c r="K17" s="18">
        <v>0</v>
      </c>
      <c r="L17" s="7">
        <v>0</v>
      </c>
      <c r="M17" s="18">
        <v>0</v>
      </c>
      <c r="N17" s="19"/>
    </row>
    <row r="18" spans="1:14" s="11" customFormat="1" ht="24.95" customHeight="1">
      <c r="A18" s="6" t="s">
        <v>29</v>
      </c>
      <c r="B18" s="7">
        <f>67+85</f>
        <v>152</v>
      </c>
      <c r="C18" s="10">
        <f>8939716+13899877</f>
        <v>22839593</v>
      </c>
      <c r="D18" s="13">
        <f>67+85</f>
        <v>152</v>
      </c>
      <c r="E18" s="13">
        <f>7975546+12520375+964170+1379502</f>
        <v>22839593</v>
      </c>
      <c r="F18" s="7">
        <v>0</v>
      </c>
      <c r="G18" s="7">
        <v>0</v>
      </c>
      <c r="H18" s="7">
        <v>0</v>
      </c>
      <c r="I18" s="7">
        <v>0</v>
      </c>
      <c r="J18" s="7">
        <v>0</v>
      </c>
      <c r="K18" s="18">
        <v>0</v>
      </c>
      <c r="L18" s="7">
        <v>0</v>
      </c>
      <c r="M18" s="18">
        <v>0</v>
      </c>
      <c r="N18" s="19"/>
    </row>
    <row r="19" spans="1:14" s="11" customFormat="1" ht="24.95" customHeight="1">
      <c r="A19" s="6" t="s">
        <v>30</v>
      </c>
      <c r="B19" s="7">
        <f>90+84</f>
        <v>174</v>
      </c>
      <c r="C19" s="10">
        <f>6247454+7071247</f>
        <v>13318701</v>
      </c>
      <c r="D19" s="13">
        <f>90+84</f>
        <v>174</v>
      </c>
      <c r="E19" s="13">
        <f>5013022+4966330+1234432+2104917</f>
        <v>13318701</v>
      </c>
      <c r="F19" s="7">
        <v>0</v>
      </c>
      <c r="G19" s="7">
        <v>0</v>
      </c>
      <c r="H19" s="7">
        <v>0</v>
      </c>
      <c r="I19" s="7">
        <v>0</v>
      </c>
      <c r="J19" s="7">
        <v>0</v>
      </c>
      <c r="K19" s="18">
        <v>0</v>
      </c>
      <c r="L19" s="7">
        <v>0</v>
      </c>
      <c r="M19" s="18">
        <v>0</v>
      </c>
      <c r="N19" s="19"/>
    </row>
    <row r="20" spans="1:14" s="11" customFormat="1" ht="24.95" customHeight="1">
      <c r="A20" s="6" t="s">
        <v>31</v>
      </c>
      <c r="B20" s="7">
        <f>148+180</f>
        <v>328</v>
      </c>
      <c r="C20" s="10">
        <f>19692294+18463431</f>
        <v>38155725</v>
      </c>
      <c r="D20" s="13">
        <f>148+180</f>
        <v>328</v>
      </c>
      <c r="E20" s="13">
        <f>12523755+7168539+8680195+9344475</f>
        <v>37716964</v>
      </c>
      <c r="F20" s="7">
        <v>0</v>
      </c>
      <c r="G20" s="7">
        <v>0</v>
      </c>
      <c r="H20" s="7">
        <v>0</v>
      </c>
      <c r="I20" s="7">
        <f>0+0</f>
        <v>0</v>
      </c>
      <c r="J20" s="7">
        <f>328-328</f>
        <v>0</v>
      </c>
      <c r="K20" s="18">
        <f>37716964-37716964</f>
        <v>0</v>
      </c>
      <c r="L20" s="7">
        <f>0</f>
        <v>0</v>
      </c>
      <c r="M20" s="18">
        <f>0</f>
        <v>0</v>
      </c>
      <c r="N20" s="19"/>
    </row>
    <row r="21" spans="1:14" s="11" customFormat="1" ht="24.95" customHeight="1">
      <c r="A21" s="6" t="s">
        <v>32</v>
      </c>
      <c r="B21" s="7">
        <f>182+236</f>
        <v>418</v>
      </c>
      <c r="C21" s="10">
        <f>24015675+27193317</f>
        <v>51208992</v>
      </c>
      <c r="D21" s="13">
        <f>182+236</f>
        <v>418</v>
      </c>
      <c r="E21" s="13">
        <f>23293704+712781+24466949+2011493</f>
        <v>50484927</v>
      </c>
      <c r="F21" s="7">
        <v>0</v>
      </c>
      <c r="G21" s="7">
        <v>0</v>
      </c>
      <c r="H21" s="7">
        <v>0</v>
      </c>
      <c r="I21" s="7">
        <f>0+0</f>
        <v>0</v>
      </c>
      <c r="J21" s="7">
        <v>0</v>
      </c>
      <c r="K21" s="18">
        <v>0</v>
      </c>
      <c r="L21" s="7">
        <v>0</v>
      </c>
      <c r="M21" s="18">
        <v>0</v>
      </c>
      <c r="N21" s="19"/>
    </row>
    <row r="22" spans="1:14" s="11" customFormat="1" ht="24.95" customHeight="1">
      <c r="A22" s="6" t="s">
        <v>33</v>
      </c>
      <c r="B22" s="7">
        <f>81+136</f>
        <v>217</v>
      </c>
      <c r="C22" s="10">
        <f>15962400+20326468</f>
        <v>36288868</v>
      </c>
      <c r="D22" s="13">
        <f>80+134</f>
        <v>214</v>
      </c>
      <c r="E22" s="13">
        <f>15487313+286013+11178978+3755580</f>
        <v>30707884</v>
      </c>
      <c r="F22" s="7">
        <f>1+2</f>
        <v>3</v>
      </c>
      <c r="G22" s="7">
        <v>0</v>
      </c>
      <c r="H22" s="7">
        <f>1+2</f>
        <v>3</v>
      </c>
      <c r="I22" s="7">
        <v>0</v>
      </c>
      <c r="J22" s="7">
        <f>241-241</f>
        <v>0</v>
      </c>
      <c r="K22" s="18">
        <f>30707884-30707884</f>
        <v>0</v>
      </c>
      <c r="L22" s="7">
        <f>0</f>
        <v>0</v>
      </c>
      <c r="M22" s="18">
        <v>0</v>
      </c>
      <c r="N22" s="19"/>
    </row>
    <row r="23" spans="1:14" s="11" customFormat="1" ht="24.95" customHeight="1">
      <c r="A23" s="6" t="s">
        <v>34</v>
      </c>
      <c r="B23" s="7">
        <f>79+96</f>
        <v>175</v>
      </c>
      <c r="C23" s="10">
        <f>6052498+16708966</f>
        <v>22761464</v>
      </c>
      <c r="D23" s="13">
        <f>79+96</f>
        <v>175</v>
      </c>
      <c r="E23" s="13">
        <f>5804720+247778+2816125+13892841</f>
        <v>22761464</v>
      </c>
      <c r="F23" s="7">
        <v>0</v>
      </c>
      <c r="G23" s="7">
        <v>0</v>
      </c>
      <c r="H23" s="7">
        <v>0</v>
      </c>
      <c r="I23" s="7">
        <v>0</v>
      </c>
      <c r="J23" s="7">
        <f>175-175</f>
        <v>0</v>
      </c>
      <c r="K23" s="18">
        <f>22761464-22761464</f>
        <v>0</v>
      </c>
      <c r="L23" s="7">
        <f>0</f>
        <v>0</v>
      </c>
      <c r="M23" s="18">
        <f>0</f>
        <v>0</v>
      </c>
      <c r="N23" s="19"/>
    </row>
    <row r="24" spans="1:14" s="11" customFormat="1" ht="24.95" customHeight="1">
      <c r="A24" s="6" t="s">
        <v>35</v>
      </c>
      <c r="B24" s="7">
        <f>111+74</f>
        <v>185</v>
      </c>
      <c r="C24" s="10">
        <f>13311687+21299960</f>
        <v>34611647</v>
      </c>
      <c r="D24" s="13">
        <f>111+74</f>
        <v>185</v>
      </c>
      <c r="E24" s="13">
        <f>11662608+1649079+20606560+693400</f>
        <v>34611647</v>
      </c>
      <c r="F24" s="7">
        <v>0</v>
      </c>
      <c r="G24" s="7">
        <v>0</v>
      </c>
      <c r="H24" s="7">
        <v>0</v>
      </c>
      <c r="I24" s="7">
        <v>0</v>
      </c>
      <c r="J24" s="13">
        <f>185-185</f>
        <v>0</v>
      </c>
      <c r="K24" s="18">
        <f>34611647-34611647</f>
        <v>0</v>
      </c>
      <c r="L24" s="7">
        <f>0</f>
        <v>0</v>
      </c>
      <c r="M24" s="18">
        <f>0</f>
        <v>0</v>
      </c>
      <c r="N24" s="19"/>
    </row>
    <row r="25" spans="1:14" s="11" customFormat="1" ht="24.95" customHeight="1">
      <c r="A25" s="6" t="s">
        <v>36</v>
      </c>
      <c r="B25" s="7">
        <f>87+59</f>
        <v>146</v>
      </c>
      <c r="C25" s="10">
        <f>11913301+40111831</f>
        <v>52025132</v>
      </c>
      <c r="D25" s="13">
        <f>87+59</f>
        <v>146</v>
      </c>
      <c r="E25" s="13">
        <f>11280621+632680+31329348+8782483</f>
        <v>52025132</v>
      </c>
      <c r="F25" s="7">
        <v>0</v>
      </c>
      <c r="G25" s="7">
        <v>0</v>
      </c>
      <c r="H25" s="7">
        <v>0</v>
      </c>
      <c r="I25" s="7">
        <v>0</v>
      </c>
      <c r="J25" s="7">
        <f>146-146</f>
        <v>0</v>
      </c>
      <c r="K25" s="18">
        <f>52025132-52025132</f>
        <v>0</v>
      </c>
      <c r="L25" s="7">
        <f>0</f>
        <v>0</v>
      </c>
      <c r="M25" s="18">
        <f>0</f>
        <v>0</v>
      </c>
      <c r="N25" s="19"/>
    </row>
    <row r="26" spans="1:14" s="11" customFormat="1" ht="24.95" customHeight="1">
      <c r="A26" s="6" t="s">
        <v>37</v>
      </c>
      <c r="B26" s="7">
        <f>117+62</f>
        <v>179</v>
      </c>
      <c r="C26" s="10">
        <f>19410331+116523797</f>
        <v>135934128</v>
      </c>
      <c r="D26" s="13">
        <f>116+61</f>
        <v>177</v>
      </c>
      <c r="E26" s="13">
        <f>11928031+4067647+110623476+5898586</f>
        <v>132517740</v>
      </c>
      <c r="F26" s="7">
        <f>1+1</f>
        <v>2</v>
      </c>
      <c r="G26" s="7">
        <f>0+1</f>
        <v>1</v>
      </c>
      <c r="H26" s="7">
        <f>1+0</f>
        <v>1</v>
      </c>
      <c r="I26" s="7">
        <f>0+0</f>
        <v>0</v>
      </c>
      <c r="J26" s="7">
        <f>177-177</f>
        <v>0</v>
      </c>
      <c r="K26" s="18">
        <f>132517740-132517740</f>
        <v>0</v>
      </c>
      <c r="L26" s="7">
        <f>0</f>
        <v>0</v>
      </c>
      <c r="M26" s="18">
        <f>0</f>
        <v>0</v>
      </c>
      <c r="N26" s="19"/>
    </row>
    <row r="27" spans="1:14" s="11" customFormat="1" ht="26.45" customHeight="1">
      <c r="A27" s="6" t="s">
        <v>38</v>
      </c>
      <c r="B27" s="7">
        <f>149+59</f>
        <v>208</v>
      </c>
      <c r="C27" s="10">
        <f>34262121+26855950</f>
        <v>61118071</v>
      </c>
      <c r="D27" s="13">
        <f>148+59</f>
        <v>207</v>
      </c>
      <c r="E27" s="13">
        <f>31599905+2623344+15284299+11571651</f>
        <v>61079199</v>
      </c>
      <c r="F27" s="7">
        <f>1+0</f>
        <v>1</v>
      </c>
      <c r="G27" s="7">
        <f>0+0</f>
        <v>0</v>
      </c>
      <c r="H27" s="7">
        <v>1</v>
      </c>
      <c r="I27" s="7">
        <v>0</v>
      </c>
      <c r="J27" s="7">
        <f>207-207</f>
        <v>0</v>
      </c>
      <c r="K27" s="20">
        <f>61079199-61079199</f>
        <v>0</v>
      </c>
      <c r="L27" s="7">
        <f>0</f>
        <v>0</v>
      </c>
      <c r="M27" s="20">
        <f>0</f>
        <v>0</v>
      </c>
      <c r="N27" s="19"/>
    </row>
    <row r="28" spans="1:14" s="11" customFormat="1" ht="24.95" customHeight="1">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18">
        <f>46463357-46463357</f>
        <v>0</v>
      </c>
      <c r="L28" s="7">
        <f>0</f>
        <v>0</v>
      </c>
      <c r="M28" s="18">
        <f>0</f>
        <v>0</v>
      </c>
      <c r="N28" s="19"/>
    </row>
    <row r="29" spans="1:14" s="11" customFormat="1" ht="24.95" customHeight="1">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18">
        <f>48233169-48233169</f>
        <v>0</v>
      </c>
      <c r="L29" s="7">
        <f>0</f>
        <v>0</v>
      </c>
      <c r="M29" s="18">
        <f>0</f>
        <v>0</v>
      </c>
      <c r="N29" s="19"/>
    </row>
    <row r="30" spans="1:14" s="11" customFormat="1" ht="24.95" customHeight="1">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18">
        <f>36756370-36756370</f>
        <v>0</v>
      </c>
      <c r="L30" s="7">
        <v>0</v>
      </c>
      <c r="M30" s="18">
        <f>0</f>
        <v>0</v>
      </c>
      <c r="N30" s="19"/>
    </row>
    <row r="31" spans="1:14" s="11" customFormat="1" ht="24.95" customHeight="1">
      <c r="A31" s="6" t="s">
        <v>42</v>
      </c>
      <c r="B31" s="7">
        <f>57+94</f>
        <v>151</v>
      </c>
      <c r="C31" s="10">
        <f>19043068+8537193</f>
        <v>27580261</v>
      </c>
      <c r="D31" s="13">
        <f>57+93</f>
        <v>150</v>
      </c>
      <c r="E31" s="13">
        <f>19043068+8503097+19307</f>
        <v>27565472</v>
      </c>
      <c r="F31" s="7">
        <f>0+1</f>
        <v>1</v>
      </c>
      <c r="G31" s="7">
        <f>0+0</f>
        <v>0</v>
      </c>
      <c r="H31" s="7">
        <f>0+1</f>
        <v>1</v>
      </c>
      <c r="I31" s="7">
        <v>0</v>
      </c>
      <c r="J31" s="7">
        <f>150-150</f>
        <v>0</v>
      </c>
      <c r="K31" s="18">
        <f>27565472-27565472</f>
        <v>0</v>
      </c>
      <c r="L31" s="7">
        <f>0</f>
        <v>0</v>
      </c>
      <c r="M31" s="18">
        <f>0</f>
        <v>0</v>
      </c>
      <c r="N31" s="19"/>
    </row>
    <row r="32" spans="1:14" s="11" customFormat="1" ht="24.95" customHeight="1">
      <c r="A32" s="6" t="s">
        <v>43</v>
      </c>
      <c r="B32" s="7">
        <f>60+102</f>
        <v>162</v>
      </c>
      <c r="C32" s="10">
        <f>20307667+54265635</f>
        <v>74573302</v>
      </c>
      <c r="D32" s="13">
        <f>60+102</f>
        <v>162</v>
      </c>
      <c r="E32" s="13">
        <f>20307342+325+32288085+21977550</f>
        <v>74573302</v>
      </c>
      <c r="F32" s="7">
        <v>0</v>
      </c>
      <c r="G32" s="7">
        <v>0</v>
      </c>
      <c r="H32" s="7">
        <v>0</v>
      </c>
      <c r="I32" s="7">
        <v>0</v>
      </c>
      <c r="J32" s="7">
        <f>162-162</f>
        <v>0</v>
      </c>
      <c r="K32" s="18">
        <f>74573302-74573302</f>
        <v>0</v>
      </c>
      <c r="L32" s="7">
        <f>0</f>
        <v>0</v>
      </c>
      <c r="M32" s="18">
        <f>0</f>
        <v>0</v>
      </c>
      <c r="N32" s="19"/>
    </row>
    <row r="33" spans="1:14" s="11" customFormat="1" ht="24.95" customHeight="1">
      <c r="A33" s="6" t="s">
        <v>44</v>
      </c>
      <c r="B33" s="7">
        <f>69+95</f>
        <v>164</v>
      </c>
      <c r="C33" s="10">
        <f>7480149+59035291</f>
        <v>66515440</v>
      </c>
      <c r="D33" s="13">
        <f>69+95</f>
        <v>164</v>
      </c>
      <c r="E33" s="13">
        <f>7470490+9659+57070684+1964607</f>
        <v>66515440</v>
      </c>
      <c r="F33" s="7">
        <v>0</v>
      </c>
      <c r="G33" s="7">
        <v>0</v>
      </c>
      <c r="H33" s="7">
        <f>0+0</f>
        <v>0</v>
      </c>
      <c r="I33" s="7">
        <f>0+0</f>
        <v>0</v>
      </c>
      <c r="J33" s="7">
        <f>164-164</f>
        <v>0</v>
      </c>
      <c r="K33" s="18">
        <f>66515440-66515440</f>
        <v>0</v>
      </c>
      <c r="L33" s="7">
        <f>0</f>
        <v>0</v>
      </c>
      <c r="M33" s="18">
        <f>0</f>
        <v>0</v>
      </c>
      <c r="N33" s="19"/>
    </row>
    <row r="34" spans="1:14" s="11" customFormat="1" ht="24.95" customHeight="1">
      <c r="A34" s="6" t="s">
        <v>45</v>
      </c>
      <c r="B34" s="7">
        <f>57+97</f>
        <v>154</v>
      </c>
      <c r="C34" s="10">
        <f>2758002+29508861</f>
        <v>32266863</v>
      </c>
      <c r="D34" s="13">
        <f>57+97</f>
        <v>154</v>
      </c>
      <c r="E34" s="13">
        <f>2758002+6542396+22966465</f>
        <v>32266863</v>
      </c>
      <c r="F34" s="7">
        <v>0</v>
      </c>
      <c r="G34" s="7">
        <v>0</v>
      </c>
      <c r="H34" s="7">
        <f>0+0</f>
        <v>0</v>
      </c>
      <c r="I34" s="7">
        <v>0</v>
      </c>
      <c r="J34" s="7">
        <f>154-154</f>
        <v>0</v>
      </c>
      <c r="K34" s="18">
        <f>32266863-32266863</f>
        <v>0</v>
      </c>
      <c r="L34" s="7">
        <v>0</v>
      </c>
      <c r="M34" s="18">
        <v>0</v>
      </c>
      <c r="N34" s="19"/>
    </row>
    <row r="35" spans="1:14" s="11" customFormat="1" ht="24.95" customHeight="1">
      <c r="A35" s="6" t="s">
        <v>46</v>
      </c>
      <c r="B35" s="7">
        <f>71+84</f>
        <v>155</v>
      </c>
      <c r="C35" s="10">
        <f>13186995+21008690</f>
        <v>34195685</v>
      </c>
      <c r="D35" s="18">
        <v>155</v>
      </c>
      <c r="E35" s="18">
        <v>34195686</v>
      </c>
      <c r="F35" s="7">
        <v>0</v>
      </c>
      <c r="G35" s="7">
        <v>0</v>
      </c>
      <c r="H35" s="7">
        <f>0+0</f>
        <v>0</v>
      </c>
      <c r="I35" s="7">
        <v>0</v>
      </c>
      <c r="J35" s="7">
        <f>153-153</f>
        <v>0</v>
      </c>
      <c r="K35" s="18">
        <v>0</v>
      </c>
      <c r="L35" s="7">
        <v>0</v>
      </c>
      <c r="M35" s="18">
        <v>0</v>
      </c>
      <c r="N35" s="19"/>
    </row>
    <row r="36" spans="1:14" s="11" customFormat="1" ht="24.95" customHeight="1">
      <c r="A36" s="6" t="s">
        <v>47</v>
      </c>
      <c r="B36" s="7">
        <f>57+79</f>
        <v>136</v>
      </c>
      <c r="C36" s="10">
        <f>36658134+15228844</f>
        <v>51886978</v>
      </c>
      <c r="D36" s="13">
        <v>136</v>
      </c>
      <c r="E36" s="13">
        <v>51886978</v>
      </c>
      <c r="F36" s="7">
        <v>0</v>
      </c>
      <c r="G36" s="7">
        <v>0</v>
      </c>
      <c r="H36" s="7">
        <f>0+0</f>
        <v>0</v>
      </c>
      <c r="I36" s="7">
        <v>0</v>
      </c>
      <c r="J36" s="7">
        <v>0</v>
      </c>
      <c r="K36" s="18">
        <v>0</v>
      </c>
      <c r="L36" s="7">
        <v>0</v>
      </c>
      <c r="M36" s="18">
        <v>0</v>
      </c>
      <c r="N36" s="19"/>
    </row>
    <row r="37" spans="1:14" s="11" customFormat="1" ht="24.95" customHeight="1">
      <c r="A37" s="6" t="s">
        <v>48</v>
      </c>
      <c r="B37" s="7">
        <v>114</v>
      </c>
      <c r="C37" s="10">
        <v>19520853</v>
      </c>
      <c r="D37" s="13">
        <v>114</v>
      </c>
      <c r="E37" s="10">
        <v>19520853</v>
      </c>
      <c r="F37" s="7">
        <v>0</v>
      </c>
      <c r="G37" s="7">
        <v>0</v>
      </c>
      <c r="H37" s="7">
        <v>0</v>
      </c>
      <c r="I37" s="7">
        <v>0</v>
      </c>
      <c r="J37" s="7">
        <v>0</v>
      </c>
      <c r="K37" s="13">
        <v>0</v>
      </c>
      <c r="L37" s="7">
        <v>0</v>
      </c>
      <c r="M37" s="13">
        <v>0</v>
      </c>
      <c r="N37" s="19"/>
    </row>
    <row r="38" spans="1:14" s="11" customFormat="1" ht="24.95" customHeight="1">
      <c r="A38" s="6" t="s">
        <v>49</v>
      </c>
      <c r="B38" s="7">
        <f>37+63</f>
        <v>100</v>
      </c>
      <c r="C38" s="10">
        <f>10544356+5635996</f>
        <v>16180352</v>
      </c>
      <c r="D38" s="13">
        <v>100</v>
      </c>
      <c r="E38" s="13">
        <f>SUM('[1]1020930'!$H$69,'[1]1020930'!$H$70)</f>
        <v>16180352</v>
      </c>
      <c r="F38" s="7">
        <v>0</v>
      </c>
      <c r="G38" s="7">
        <v>0</v>
      </c>
      <c r="H38" s="7">
        <v>0</v>
      </c>
      <c r="I38" s="7">
        <v>0</v>
      </c>
      <c r="J38" s="7">
        <v>0</v>
      </c>
      <c r="K38" s="13">
        <v>0</v>
      </c>
      <c r="L38" s="7">
        <v>0</v>
      </c>
      <c r="M38" s="13">
        <v>0</v>
      </c>
      <c r="N38" s="19"/>
    </row>
    <row r="39" spans="1:14" s="11" customFormat="1" ht="24.95" customHeight="1">
      <c r="A39" s="6" t="s">
        <v>50</v>
      </c>
      <c r="B39" s="7">
        <v>124</v>
      </c>
      <c r="C39" s="10">
        <v>16179842</v>
      </c>
      <c r="D39" s="13">
        <v>122</v>
      </c>
      <c r="E39" s="13">
        <v>15765931</v>
      </c>
      <c r="F39" s="7">
        <v>2</v>
      </c>
      <c r="G39" s="7">
        <v>1</v>
      </c>
      <c r="H39" s="7">
        <v>1</v>
      </c>
      <c r="I39" s="7">
        <v>0</v>
      </c>
      <c r="J39" s="7">
        <v>82</v>
      </c>
      <c r="K39" s="13">
        <v>11521293</v>
      </c>
      <c r="L39" s="7">
        <v>82</v>
      </c>
      <c r="M39" s="13">
        <v>11521293</v>
      </c>
      <c r="N39" s="19"/>
    </row>
    <row r="40" spans="1:14" s="11" customFormat="1" ht="24.95" customHeight="1">
      <c r="A40" s="6" t="s">
        <v>51</v>
      </c>
      <c r="B40" s="13">
        <f t="shared" ref="B40:L40" si="0">SUM(B2:B39)</f>
        <v>6598</v>
      </c>
      <c r="C40" s="13">
        <f t="shared" si="0"/>
        <v>3156147481</v>
      </c>
      <c r="D40" s="13">
        <f t="shared" si="0"/>
        <v>6584</v>
      </c>
      <c r="E40" s="13">
        <f t="shared" si="0"/>
        <v>2051080417</v>
      </c>
      <c r="F40" s="12">
        <f t="shared" si="0"/>
        <v>14</v>
      </c>
      <c r="G40" s="7">
        <f t="shared" si="0"/>
        <v>4</v>
      </c>
      <c r="H40" s="13">
        <f t="shared" si="0"/>
        <v>10</v>
      </c>
      <c r="I40" s="7">
        <f t="shared" si="0"/>
        <v>0</v>
      </c>
      <c r="J40" s="21">
        <f t="shared" si="0"/>
        <v>90</v>
      </c>
      <c r="K40" s="18">
        <f t="shared" si="0"/>
        <v>908164625</v>
      </c>
      <c r="L40" s="18">
        <f t="shared" si="0"/>
        <v>90</v>
      </c>
      <c r="M40" s="18">
        <f>SUM(M2:M39)</f>
        <v>908164625</v>
      </c>
      <c r="N40" s="19"/>
    </row>
    <row r="41" spans="1:14" s="11" customFormat="1" ht="24" customHeight="1">
      <c r="A41" s="95" t="s">
        <v>52</v>
      </c>
      <c r="B41" s="96"/>
      <c r="C41" s="96"/>
      <c r="D41" s="96"/>
      <c r="E41" s="96"/>
      <c r="F41" s="96"/>
      <c r="G41" s="96"/>
      <c r="H41" s="96"/>
      <c r="I41" s="96"/>
      <c r="J41" s="96"/>
      <c r="K41" s="96"/>
      <c r="L41" s="96"/>
      <c r="M41" s="96"/>
      <c r="N41" s="22"/>
    </row>
    <row r="42" spans="1:14" s="23" customFormat="1" ht="30" customHeight="1">
      <c r="A42" s="97"/>
      <c r="B42" s="97"/>
      <c r="C42" s="97"/>
      <c r="D42" s="97"/>
      <c r="E42" s="97"/>
      <c r="F42" s="97"/>
      <c r="G42" s="97"/>
      <c r="H42" s="97"/>
      <c r="I42" s="97"/>
      <c r="J42" s="97"/>
      <c r="K42" s="97"/>
      <c r="L42" s="97"/>
      <c r="M42" s="97"/>
    </row>
    <row r="43" spans="1:14" s="26" customFormat="1" ht="30" customHeight="1">
      <c r="A43" s="98"/>
      <c r="B43" s="98"/>
      <c r="C43" s="98"/>
      <c r="D43" s="24"/>
      <c r="E43" s="25"/>
    </row>
    <row r="44" spans="1:14" s="26" customFormat="1" ht="30" customHeight="1">
      <c r="C44" s="27"/>
      <c r="D44" s="24"/>
      <c r="E44" s="25"/>
      <c r="H44" s="28"/>
      <c r="I44" s="29"/>
    </row>
    <row r="45" spans="1:14" s="26" customFormat="1" ht="30" customHeight="1">
      <c r="C45" s="27"/>
      <c r="D45" s="24"/>
      <c r="E45" s="25"/>
      <c r="I45" s="30"/>
    </row>
    <row r="46" spans="1:14" s="26" customFormat="1" ht="30" customHeight="1">
      <c r="C46" s="27"/>
      <c r="D46" s="24"/>
      <c r="E46" s="25"/>
    </row>
    <row r="47" spans="1:14" s="26" customFormat="1" ht="30" customHeight="1">
      <c r="A47" s="98"/>
      <c r="B47" s="98"/>
      <c r="C47" s="98"/>
      <c r="D47" s="98"/>
      <c r="E47" s="98"/>
    </row>
    <row r="48" spans="1:14" s="26" customFormat="1" ht="30" customHeight="1">
      <c r="A48" s="98"/>
      <c r="B48" s="98"/>
      <c r="C48" s="98"/>
      <c r="D48" s="98"/>
      <c r="E48" s="98"/>
    </row>
  </sheetData>
  <mergeCells count="4">
    <mergeCell ref="A41:M41"/>
    <mergeCell ref="A42:M42"/>
    <mergeCell ref="A43:C43"/>
    <mergeCell ref="A47:E48"/>
  </mergeCells>
  <phoneticPr fontId="3" type="noConversion"/>
  <pageMargins left="0.62992125984251968" right="0.35433070866141736" top="0.55118110236220474" bottom="0.59055118110236227" header="0.31496062992125984" footer="0.19685039370078741"/>
  <pageSetup paperSize="9" scale="75" orientation="landscape" verticalDpi="1200" r:id="rId1"/>
  <headerFooter alignWithMargins="0">
    <oddHeader>&amp;C&amp;"Times New Roman,粗體"(&amp;"新細明體,粗體"財&amp;"Times New Roman,粗體")&amp;"新細明體,粗體"證券投資人及期貨交易人保護中心辦理各年度短線交易歸入權案件進行概況</oddHeader>
    <oddFooter xml:space="preserve">&amp;R&amp;"+,標準"&amp;11截至103/06
&amp;"Times New Roman,標準"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zoomScale="80" zoomScaleNormal="80" workbookViewId="0">
      <pane ySplit="1" topLeftCell="A17" activePane="bottomLeft" state="frozen"/>
      <selection pane="bottomLeft" activeCell="D27" sqref="D27"/>
    </sheetView>
  </sheetViews>
  <sheetFormatPr defaultColWidth="8.875" defaultRowHeight="16.5"/>
  <cols>
    <col min="1" max="1" width="23.5" style="39" customWidth="1"/>
    <col min="2" max="2" width="21.75" style="39" customWidth="1"/>
    <col min="3" max="3" width="25.75" style="39" customWidth="1"/>
    <col min="4" max="4" width="56.125" style="39" customWidth="1"/>
    <col min="5" max="5" width="49.625" style="39" customWidth="1"/>
    <col min="6" max="16384" width="8.875" style="39"/>
  </cols>
  <sheetData>
    <row r="1" spans="1:5" s="42" customFormat="1" ht="30" customHeight="1">
      <c r="A1" s="40" t="s">
        <v>0</v>
      </c>
      <c r="B1" s="35" t="s">
        <v>54</v>
      </c>
      <c r="C1" s="36" t="s">
        <v>55</v>
      </c>
      <c r="D1" s="41" t="s">
        <v>56</v>
      </c>
      <c r="E1" s="41" t="s">
        <v>57</v>
      </c>
    </row>
    <row r="2" spans="1:5" s="38" customFormat="1" ht="24.95" customHeight="1">
      <c r="A2" s="37" t="s">
        <v>13</v>
      </c>
      <c r="B2" s="43">
        <v>0</v>
      </c>
      <c r="C2" s="44">
        <v>0</v>
      </c>
      <c r="D2" s="44" t="s">
        <v>53</v>
      </c>
      <c r="E2" s="44" t="s">
        <v>53</v>
      </c>
    </row>
    <row r="3" spans="1:5" s="38" customFormat="1" ht="24.95" customHeight="1">
      <c r="A3" s="37" t="s">
        <v>14</v>
      </c>
      <c r="B3" s="45">
        <v>0</v>
      </c>
      <c r="C3" s="46">
        <v>0</v>
      </c>
      <c r="D3" s="44" t="s">
        <v>53</v>
      </c>
      <c r="E3" s="44" t="s">
        <v>53</v>
      </c>
    </row>
    <row r="4" spans="1:5" s="38" customFormat="1" ht="24.95" customHeight="1">
      <c r="A4" s="37" t="s">
        <v>15</v>
      </c>
      <c r="B4" s="45">
        <v>0</v>
      </c>
      <c r="C4" s="47">
        <v>0</v>
      </c>
      <c r="D4" s="44" t="s">
        <v>53</v>
      </c>
      <c r="E4" s="44" t="s">
        <v>53</v>
      </c>
    </row>
    <row r="5" spans="1:5" s="38" customFormat="1" ht="24.95" customHeight="1">
      <c r="A5" s="37" t="s">
        <v>16</v>
      </c>
      <c r="B5" s="45">
        <v>0</v>
      </c>
      <c r="C5" s="46">
        <v>0</v>
      </c>
      <c r="D5" s="44" t="s">
        <v>53</v>
      </c>
      <c r="E5" s="44" t="s">
        <v>53</v>
      </c>
    </row>
    <row r="6" spans="1:5" s="38" customFormat="1" ht="24.95" customHeight="1">
      <c r="A6" s="37" t="s">
        <v>17</v>
      </c>
      <c r="B6" s="45">
        <v>0</v>
      </c>
      <c r="C6" s="46">
        <v>0</v>
      </c>
      <c r="D6" s="44" t="s">
        <v>53</v>
      </c>
      <c r="E6" s="44" t="s">
        <v>53</v>
      </c>
    </row>
    <row r="7" spans="1:5" s="38" customFormat="1" ht="24.95" customHeight="1">
      <c r="A7" s="37" t="s">
        <v>18</v>
      </c>
      <c r="B7" s="45">
        <v>0</v>
      </c>
      <c r="C7" s="46">
        <v>0</v>
      </c>
      <c r="D7" s="44" t="s">
        <v>53</v>
      </c>
      <c r="E7" s="44" t="s">
        <v>53</v>
      </c>
    </row>
    <row r="8" spans="1:5" s="38" customFormat="1" ht="24.95" customHeight="1">
      <c r="A8" s="37" t="s">
        <v>19</v>
      </c>
      <c r="B8" s="48">
        <v>0</v>
      </c>
      <c r="C8" s="49">
        <v>0</v>
      </c>
      <c r="D8" s="50" t="s">
        <v>53</v>
      </c>
      <c r="E8" s="50" t="s">
        <v>53</v>
      </c>
    </row>
    <row r="9" spans="1:5" s="38" customFormat="1" ht="36.6" customHeight="1">
      <c r="A9" s="37" t="s">
        <v>58</v>
      </c>
      <c r="B9" s="48">
        <v>0</v>
      </c>
      <c r="C9" s="49">
        <v>0</v>
      </c>
      <c r="D9" s="50" t="s">
        <v>53</v>
      </c>
      <c r="E9" s="50" t="s">
        <v>53</v>
      </c>
    </row>
    <row r="10" spans="1:5" s="38" customFormat="1" ht="24.95" customHeight="1">
      <c r="A10" s="37" t="s">
        <v>21</v>
      </c>
      <c r="B10" s="48">
        <v>0</v>
      </c>
      <c r="C10" s="49">
        <v>0</v>
      </c>
      <c r="D10" s="50" t="s">
        <v>53</v>
      </c>
      <c r="E10" s="50" t="s">
        <v>53</v>
      </c>
    </row>
    <row r="11" spans="1:5" s="51" customFormat="1" ht="24.95" customHeight="1">
      <c r="A11" s="37" t="s">
        <v>22</v>
      </c>
      <c r="B11" s="43">
        <v>0</v>
      </c>
      <c r="C11" s="46">
        <v>0</v>
      </c>
      <c r="D11" s="44" t="s">
        <v>53</v>
      </c>
      <c r="E11" s="44" t="s">
        <v>53</v>
      </c>
    </row>
    <row r="12" spans="1:5" s="51" customFormat="1" ht="24.95" customHeight="1">
      <c r="A12" s="37" t="s">
        <v>23</v>
      </c>
      <c r="B12" s="43">
        <v>0</v>
      </c>
      <c r="C12" s="46">
        <v>0</v>
      </c>
      <c r="D12" s="44" t="s">
        <v>53</v>
      </c>
      <c r="E12" s="44" t="s">
        <v>53</v>
      </c>
    </row>
    <row r="13" spans="1:5" s="51" customFormat="1" ht="24.95" customHeight="1">
      <c r="A13" s="37" t="s">
        <v>24</v>
      </c>
      <c r="B13" s="43">
        <v>0</v>
      </c>
      <c r="C13" s="46">
        <v>0</v>
      </c>
      <c r="D13" s="44" t="s">
        <v>53</v>
      </c>
      <c r="E13" s="44" t="s">
        <v>53</v>
      </c>
    </row>
    <row r="14" spans="1:5" s="51" customFormat="1" ht="24.95" customHeight="1">
      <c r="A14" s="37" t="s">
        <v>25</v>
      </c>
      <c r="B14" s="43">
        <v>2</v>
      </c>
      <c r="C14" s="46">
        <f>2009746+1591141</f>
        <v>3600887</v>
      </c>
      <c r="D14" s="44" t="s">
        <v>53</v>
      </c>
      <c r="E14" s="44" t="s">
        <v>53</v>
      </c>
    </row>
    <row r="15" spans="1:5" s="51" customFormat="1" ht="24.95" customHeight="1">
      <c r="A15" s="37" t="s">
        <v>26</v>
      </c>
      <c r="B15" s="43">
        <v>0</v>
      </c>
      <c r="C15" s="46">
        <v>0</v>
      </c>
      <c r="D15" s="44" t="s">
        <v>53</v>
      </c>
      <c r="E15" s="44" t="s">
        <v>53</v>
      </c>
    </row>
    <row r="16" spans="1:5" s="51" customFormat="1" ht="24.95" customHeight="1">
      <c r="A16" s="37" t="s">
        <v>27</v>
      </c>
      <c r="B16" s="43">
        <v>0</v>
      </c>
      <c r="C16" s="46">
        <v>0</v>
      </c>
      <c r="D16" s="44" t="s">
        <v>53</v>
      </c>
      <c r="E16" s="44" t="s">
        <v>53</v>
      </c>
    </row>
    <row r="17" spans="1:5" s="51" customFormat="1" ht="24.95" customHeight="1">
      <c r="A17" s="37" t="s">
        <v>59</v>
      </c>
      <c r="B17" s="43">
        <v>0</v>
      </c>
      <c r="C17" s="46">
        <v>0</v>
      </c>
      <c r="D17" s="44" t="s">
        <v>53</v>
      </c>
      <c r="E17" s="44" t="s">
        <v>53</v>
      </c>
    </row>
    <row r="18" spans="1:5" s="51" customFormat="1" ht="24.95" customHeight="1">
      <c r="A18" s="37" t="s">
        <v>60</v>
      </c>
      <c r="B18" s="43">
        <v>0</v>
      </c>
      <c r="C18" s="46">
        <v>0</v>
      </c>
      <c r="D18" s="44" t="s">
        <v>53</v>
      </c>
      <c r="E18" s="44" t="s">
        <v>53</v>
      </c>
    </row>
    <row r="19" spans="1:5" s="51" customFormat="1" ht="24.95" customHeight="1">
      <c r="A19" s="37" t="s">
        <v>61</v>
      </c>
      <c r="B19" s="43">
        <v>0</v>
      </c>
      <c r="C19" s="46">
        <v>0</v>
      </c>
      <c r="D19" s="44" t="s">
        <v>53</v>
      </c>
      <c r="E19" s="44" t="s">
        <v>53</v>
      </c>
    </row>
    <row r="20" spans="1:5" s="51" customFormat="1" ht="24.95" customHeight="1">
      <c r="A20" s="37" t="s">
        <v>62</v>
      </c>
      <c r="B20" s="43">
        <v>0</v>
      </c>
      <c r="C20" s="46">
        <v>0</v>
      </c>
      <c r="D20" s="44" t="s">
        <v>53</v>
      </c>
      <c r="E20" s="44" t="s">
        <v>53</v>
      </c>
    </row>
    <row r="21" spans="1:5" s="51" customFormat="1" ht="24.95" customHeight="1">
      <c r="A21" s="37" t="s">
        <v>63</v>
      </c>
      <c r="B21" s="43">
        <v>0</v>
      </c>
      <c r="C21" s="46">
        <v>0</v>
      </c>
      <c r="D21" s="44" t="s">
        <v>53</v>
      </c>
      <c r="E21" s="44" t="s">
        <v>53</v>
      </c>
    </row>
    <row r="22" spans="1:5" s="51" customFormat="1" ht="24.95" customHeight="1">
      <c r="A22" s="37" t="s">
        <v>64</v>
      </c>
      <c r="B22" s="43">
        <f>1+2</f>
        <v>3</v>
      </c>
      <c r="C22" s="46">
        <f>174590+7811708-3000000+37623</f>
        <v>5023921</v>
      </c>
      <c r="D22" s="44" t="s">
        <v>53</v>
      </c>
      <c r="E22" s="44" t="s">
        <v>53</v>
      </c>
    </row>
    <row r="23" spans="1:5" s="51" customFormat="1" ht="24.95" customHeight="1">
      <c r="A23" s="37" t="s">
        <v>65</v>
      </c>
      <c r="B23" s="43">
        <v>0</v>
      </c>
      <c r="C23" s="46">
        <v>0</v>
      </c>
      <c r="D23" s="44" t="s">
        <v>53</v>
      </c>
      <c r="E23" s="44" t="s">
        <v>53</v>
      </c>
    </row>
    <row r="24" spans="1:5" s="51" customFormat="1" ht="24.95" customHeight="1">
      <c r="A24" s="37" t="s">
        <v>66</v>
      </c>
      <c r="B24" s="43">
        <v>0</v>
      </c>
      <c r="C24" s="46">
        <v>0</v>
      </c>
      <c r="D24" s="44" t="s">
        <v>53</v>
      </c>
      <c r="E24" s="44" t="s">
        <v>53</v>
      </c>
    </row>
    <row r="25" spans="1:5" s="51" customFormat="1" ht="24.95" customHeight="1">
      <c r="A25" s="37" t="s">
        <v>67</v>
      </c>
      <c r="B25" s="43">
        <v>0</v>
      </c>
      <c r="C25" s="46">
        <v>0</v>
      </c>
      <c r="D25" s="44" t="s">
        <v>53</v>
      </c>
      <c r="E25" s="44" t="s">
        <v>53</v>
      </c>
    </row>
    <row r="26" spans="1:5" s="51" customFormat="1" ht="24.95" customHeight="1">
      <c r="A26" s="37" t="s">
        <v>68</v>
      </c>
      <c r="B26" s="43">
        <f>1+1</f>
        <v>2</v>
      </c>
      <c r="C26" s="46">
        <f>3414653+1735</f>
        <v>3416388</v>
      </c>
      <c r="D26" s="44" t="s">
        <v>69</v>
      </c>
      <c r="E26" s="44" t="s">
        <v>69</v>
      </c>
    </row>
    <row r="27" spans="1:5" s="51" customFormat="1" ht="24.95" customHeight="1">
      <c r="A27" s="37" t="s">
        <v>70</v>
      </c>
      <c r="B27" s="43">
        <f>1</f>
        <v>1</v>
      </c>
      <c r="C27" s="46">
        <f>38872</f>
        <v>38872</v>
      </c>
      <c r="D27" s="44" t="s">
        <v>69</v>
      </c>
      <c r="E27" s="44" t="s">
        <v>69</v>
      </c>
    </row>
    <row r="28" spans="1:5" s="51" customFormat="1" ht="24.95" customHeight="1">
      <c r="A28" s="37" t="s">
        <v>71</v>
      </c>
      <c r="B28" s="52">
        <v>1</v>
      </c>
      <c r="C28" s="53">
        <f>622766</f>
        <v>622766</v>
      </c>
      <c r="D28" s="44" t="s">
        <v>72</v>
      </c>
      <c r="E28" s="44" t="s">
        <v>72</v>
      </c>
    </row>
    <row r="29" spans="1:5" s="51" customFormat="1" ht="24.95" customHeight="1">
      <c r="A29" s="37" t="s">
        <v>73</v>
      </c>
      <c r="B29" s="52">
        <v>1</v>
      </c>
      <c r="C29" s="53">
        <f>7355</f>
        <v>7355</v>
      </c>
      <c r="D29" s="44" t="s">
        <v>72</v>
      </c>
      <c r="E29" s="44" t="s">
        <v>72</v>
      </c>
    </row>
    <row r="30" spans="1:5" s="51" customFormat="1" ht="24.95" customHeight="1">
      <c r="A30" s="37" t="s">
        <v>74</v>
      </c>
      <c r="B30" s="52">
        <f>1</f>
        <v>1</v>
      </c>
      <c r="C30" s="53">
        <f>612257</f>
        <v>612257</v>
      </c>
      <c r="D30" s="44" t="s">
        <v>75</v>
      </c>
      <c r="E30" s="44" t="s">
        <v>75</v>
      </c>
    </row>
    <row r="31" spans="1:5" s="51" customFormat="1" ht="24.95" customHeight="1">
      <c r="A31" s="37" t="s">
        <v>76</v>
      </c>
      <c r="B31" s="52">
        <v>1</v>
      </c>
      <c r="C31" s="53">
        <f>14789</f>
        <v>14789</v>
      </c>
      <c r="D31" s="44" t="s">
        <v>75</v>
      </c>
      <c r="E31" s="44" t="s">
        <v>75</v>
      </c>
    </row>
    <row r="32" spans="1:5" s="51" customFormat="1" ht="25.9" customHeight="1">
      <c r="A32" s="37" t="s">
        <v>77</v>
      </c>
      <c r="B32" s="43">
        <v>0</v>
      </c>
      <c r="C32" s="46">
        <v>0</v>
      </c>
      <c r="D32" s="44" t="s">
        <v>75</v>
      </c>
      <c r="E32" s="44" t="s">
        <v>75</v>
      </c>
    </row>
    <row r="33" spans="1:5" s="51" customFormat="1" ht="27" customHeight="1">
      <c r="A33" s="37" t="s">
        <v>78</v>
      </c>
      <c r="B33" s="43">
        <v>0</v>
      </c>
      <c r="C33" s="46">
        <v>0</v>
      </c>
      <c r="D33" s="44" t="s">
        <v>75</v>
      </c>
      <c r="E33" s="44" t="s">
        <v>75</v>
      </c>
    </row>
    <row r="34" spans="1:5" s="51" customFormat="1" ht="27" customHeight="1">
      <c r="A34" s="37" t="s">
        <v>79</v>
      </c>
      <c r="B34" s="43">
        <v>0</v>
      </c>
      <c r="C34" s="46">
        <v>0</v>
      </c>
      <c r="D34" s="44" t="s">
        <v>75</v>
      </c>
      <c r="E34" s="44" t="s">
        <v>75</v>
      </c>
    </row>
    <row r="35" spans="1:5" s="51" customFormat="1" ht="27" customHeight="1">
      <c r="A35" s="37" t="s">
        <v>80</v>
      </c>
      <c r="B35" s="43">
        <v>0</v>
      </c>
      <c r="C35" s="46">
        <v>0</v>
      </c>
      <c r="D35" s="44" t="s">
        <v>75</v>
      </c>
      <c r="E35" s="44" t="s">
        <v>75</v>
      </c>
    </row>
    <row r="36" spans="1:5" s="51" customFormat="1" ht="27" customHeight="1">
      <c r="A36" s="37" t="s">
        <v>81</v>
      </c>
      <c r="B36" s="43">
        <v>0</v>
      </c>
      <c r="C36" s="46">
        <v>0</v>
      </c>
      <c r="D36" s="44" t="s">
        <v>75</v>
      </c>
      <c r="E36" s="44" t="s">
        <v>75</v>
      </c>
    </row>
    <row r="37" spans="1:5" s="51" customFormat="1" ht="27" customHeight="1">
      <c r="A37" s="37" t="s">
        <v>82</v>
      </c>
      <c r="B37" s="43">
        <v>0</v>
      </c>
      <c r="C37" s="46">
        <v>0</v>
      </c>
      <c r="D37" s="44" t="s">
        <v>75</v>
      </c>
      <c r="E37" s="44" t="s">
        <v>75</v>
      </c>
    </row>
    <row r="38" spans="1:5" s="51" customFormat="1" ht="27" customHeight="1">
      <c r="A38" s="37" t="s">
        <v>83</v>
      </c>
      <c r="B38" s="43">
        <v>0</v>
      </c>
      <c r="C38" s="46">
        <v>0</v>
      </c>
      <c r="D38" s="44" t="s">
        <v>75</v>
      </c>
      <c r="E38" s="44" t="s">
        <v>75</v>
      </c>
    </row>
    <row r="39" spans="1:5" s="51" customFormat="1" ht="27" customHeight="1">
      <c r="A39" s="37" t="s">
        <v>84</v>
      </c>
      <c r="B39" s="43">
        <v>2</v>
      </c>
      <c r="C39" s="46">
        <v>413911</v>
      </c>
      <c r="D39" s="44" t="s">
        <v>75</v>
      </c>
      <c r="E39" s="44" t="s">
        <v>75</v>
      </c>
    </row>
    <row r="40" spans="1:5" s="38" customFormat="1" ht="24.6" customHeight="1">
      <c r="A40" s="37" t="s">
        <v>85</v>
      </c>
      <c r="B40" s="46">
        <f>SUM(B2:B39)</f>
        <v>14</v>
      </c>
      <c r="C40" s="46">
        <f>SUM(C2:C39)</f>
        <v>13751146</v>
      </c>
      <c r="D40" s="44" t="s">
        <v>53</v>
      </c>
      <c r="E40" s="44" t="s">
        <v>53</v>
      </c>
    </row>
    <row r="42" spans="1:5" s="54" customFormat="1"/>
    <row r="43" spans="1:5" s="54" customFormat="1">
      <c r="C43" s="54" t="s">
        <v>86</v>
      </c>
    </row>
    <row r="44" spans="1:5" s="54" customFormat="1"/>
  </sheetData>
  <phoneticPr fontId="2" type="noConversion"/>
  <pageMargins left="0.70866141732283472" right="0.70866141732283472" top="0.74803149606299213" bottom="0.74803149606299213" header="0.31496062992125984" footer="0.31496062992125984"/>
  <pageSetup paperSize="9" scale="70" orientation="landscape" verticalDpi="120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 xml:space="preserve">&amp;R&amp;"+,標準"截至103/06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
  <sheetViews>
    <sheetView workbookViewId="0">
      <selection activeCell="G11" sqref="G11"/>
    </sheetView>
  </sheetViews>
  <sheetFormatPr defaultColWidth="8.875" defaultRowHeight="14.25"/>
  <cols>
    <col min="1" max="1" width="9" style="67" customWidth="1"/>
    <col min="2" max="2" width="6.25" style="67" customWidth="1"/>
    <col min="3" max="3" width="13.5" style="67" customWidth="1"/>
    <col min="4" max="4" width="11" style="92" customWidth="1"/>
    <col min="5" max="5" width="14.375" style="93" customWidth="1"/>
    <col min="6" max="6" width="38.5" style="93" customWidth="1"/>
    <col min="7" max="7" width="40.375" style="67" customWidth="1"/>
    <col min="8" max="8" width="22.125" style="94" customWidth="1"/>
    <col min="9" max="9" width="13.5" style="66" customWidth="1"/>
    <col min="10" max="10" width="10.25" style="67" customWidth="1"/>
    <col min="11" max="11" width="9.25" style="67" customWidth="1"/>
    <col min="12" max="12" width="9.125" style="67" customWidth="1"/>
    <col min="13" max="16384" width="8.875" style="67"/>
  </cols>
  <sheetData>
    <row r="1" spans="1:38" s="60" customFormat="1" ht="28.5">
      <c r="A1" s="55" t="s">
        <v>97</v>
      </c>
      <c r="B1" s="56" t="s">
        <v>98</v>
      </c>
      <c r="C1" s="55" t="s">
        <v>99</v>
      </c>
      <c r="D1" s="57" t="s">
        <v>100</v>
      </c>
      <c r="E1" s="58" t="s">
        <v>87</v>
      </c>
      <c r="F1" s="55" t="s">
        <v>101</v>
      </c>
      <c r="G1" s="55" t="s">
        <v>102</v>
      </c>
      <c r="H1" s="59" t="s">
        <v>103</v>
      </c>
    </row>
    <row r="2" spans="1:38" ht="28.5">
      <c r="A2" s="61" t="s">
        <v>104</v>
      </c>
      <c r="B2" s="62">
        <v>9</v>
      </c>
      <c r="C2" s="62" t="s">
        <v>105</v>
      </c>
      <c r="D2" s="63" t="s">
        <v>106</v>
      </c>
      <c r="E2" s="64">
        <v>2009746</v>
      </c>
      <c r="F2" s="62" t="s">
        <v>107</v>
      </c>
      <c r="G2" s="62" t="s">
        <v>108</v>
      </c>
      <c r="H2" s="65" t="s">
        <v>88</v>
      </c>
    </row>
    <row r="3" spans="1:38">
      <c r="A3" s="68"/>
      <c r="B3" s="62">
        <v>10</v>
      </c>
      <c r="C3" s="62" t="s">
        <v>105</v>
      </c>
      <c r="D3" s="69" t="s">
        <v>106</v>
      </c>
      <c r="E3" s="64">
        <v>1591141</v>
      </c>
      <c r="F3" s="62" t="s">
        <v>107</v>
      </c>
      <c r="G3" s="62" t="s">
        <v>108</v>
      </c>
      <c r="H3" s="65" t="s">
        <v>88</v>
      </c>
    </row>
    <row r="4" spans="1:38" ht="28.5">
      <c r="A4" s="62" t="s">
        <v>109</v>
      </c>
      <c r="B4" s="62">
        <v>11</v>
      </c>
      <c r="C4" s="62" t="s">
        <v>89</v>
      </c>
      <c r="D4" s="63" t="s">
        <v>106</v>
      </c>
      <c r="E4" s="70">
        <v>174590</v>
      </c>
      <c r="F4" s="62" t="s">
        <v>110</v>
      </c>
      <c r="G4" s="71" t="s">
        <v>111</v>
      </c>
      <c r="H4" s="65" t="s">
        <v>90</v>
      </c>
    </row>
    <row r="5" spans="1:38" ht="28.5">
      <c r="A5" s="72" t="s">
        <v>112</v>
      </c>
      <c r="B5" s="62">
        <v>12</v>
      </c>
      <c r="C5" s="73" t="s">
        <v>91</v>
      </c>
      <c r="D5" s="63" t="s">
        <v>113</v>
      </c>
      <c r="E5" s="74">
        <v>37623</v>
      </c>
      <c r="F5" s="62" t="s">
        <v>114</v>
      </c>
      <c r="G5" s="71" t="s">
        <v>115</v>
      </c>
      <c r="H5" s="65" t="s">
        <v>92</v>
      </c>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row>
    <row r="6" spans="1:38" ht="42.75">
      <c r="A6" s="62" t="s">
        <v>116</v>
      </c>
      <c r="B6" s="62">
        <v>13</v>
      </c>
      <c r="C6" s="75" t="s">
        <v>117</v>
      </c>
      <c r="D6" s="76" t="s">
        <v>106</v>
      </c>
      <c r="E6" s="77">
        <v>3414653</v>
      </c>
      <c r="F6" s="71" t="s">
        <v>118</v>
      </c>
      <c r="G6" s="71" t="s">
        <v>119</v>
      </c>
      <c r="H6" s="78"/>
    </row>
    <row r="7" spans="1:38" ht="28.5">
      <c r="A7" s="62" t="s">
        <v>120</v>
      </c>
      <c r="B7" s="62">
        <v>14</v>
      </c>
      <c r="C7" s="62" t="s">
        <v>93</v>
      </c>
      <c r="D7" s="63" t="s">
        <v>106</v>
      </c>
      <c r="E7" s="70">
        <v>1735</v>
      </c>
      <c r="F7" s="70" t="s">
        <v>121</v>
      </c>
      <c r="G7" s="77" t="s">
        <v>122</v>
      </c>
      <c r="H7" s="65" t="s">
        <v>94</v>
      </c>
    </row>
    <row r="8" spans="1:38" ht="42.75">
      <c r="A8" s="62" t="s">
        <v>123</v>
      </c>
      <c r="B8" s="62">
        <v>15</v>
      </c>
      <c r="C8" s="75" t="s">
        <v>124</v>
      </c>
      <c r="D8" s="76" t="s">
        <v>106</v>
      </c>
      <c r="E8" s="77">
        <v>38872</v>
      </c>
      <c r="F8" s="79" t="s">
        <v>125</v>
      </c>
      <c r="G8" s="71" t="s">
        <v>119</v>
      </c>
      <c r="H8" s="78"/>
    </row>
    <row r="9" spans="1:38" ht="85.5">
      <c r="A9" s="62" t="s">
        <v>126</v>
      </c>
      <c r="B9" s="62">
        <v>16</v>
      </c>
      <c r="C9" s="75" t="s">
        <v>127</v>
      </c>
      <c r="D9" s="80" t="s">
        <v>106</v>
      </c>
      <c r="E9" s="77">
        <v>622766</v>
      </c>
      <c r="F9" s="71" t="s">
        <v>128</v>
      </c>
      <c r="G9" s="81" t="s">
        <v>129</v>
      </c>
      <c r="H9" s="78"/>
    </row>
    <row r="10" spans="1:38" ht="85.5">
      <c r="A10" s="62" t="s">
        <v>130</v>
      </c>
      <c r="B10" s="62">
        <v>17</v>
      </c>
      <c r="C10" s="75" t="s">
        <v>131</v>
      </c>
      <c r="D10" s="76" t="s">
        <v>132</v>
      </c>
      <c r="E10" s="77">
        <v>7355</v>
      </c>
      <c r="F10" s="71" t="s">
        <v>128</v>
      </c>
      <c r="G10" s="81" t="s">
        <v>129</v>
      </c>
      <c r="H10" s="78"/>
    </row>
    <row r="11" spans="1:38" ht="85.5">
      <c r="A11" s="62" t="s">
        <v>133</v>
      </c>
      <c r="B11" s="62">
        <v>18</v>
      </c>
      <c r="C11" s="75" t="s">
        <v>131</v>
      </c>
      <c r="D11" s="76" t="s">
        <v>132</v>
      </c>
      <c r="E11" s="77">
        <v>612257</v>
      </c>
      <c r="F11" s="71" t="s">
        <v>128</v>
      </c>
      <c r="G11" s="81" t="s">
        <v>129</v>
      </c>
      <c r="H11" s="78"/>
    </row>
    <row r="12" spans="1:38" ht="42.75">
      <c r="A12" s="62" t="s">
        <v>134</v>
      </c>
      <c r="B12" s="62">
        <v>19</v>
      </c>
      <c r="C12" s="75" t="s">
        <v>127</v>
      </c>
      <c r="D12" s="76" t="s">
        <v>113</v>
      </c>
      <c r="E12" s="77">
        <v>14789</v>
      </c>
      <c r="F12" s="71" t="s">
        <v>135</v>
      </c>
      <c r="G12" s="71" t="s">
        <v>136</v>
      </c>
      <c r="H12" s="78"/>
    </row>
    <row r="13" spans="1:38" ht="42.75">
      <c r="A13" s="82" t="s">
        <v>137</v>
      </c>
      <c r="B13" s="76">
        <v>31</v>
      </c>
      <c r="C13" s="83" t="s">
        <v>95</v>
      </c>
      <c r="D13" s="84" t="s">
        <v>138</v>
      </c>
      <c r="E13" s="85">
        <v>407178</v>
      </c>
      <c r="F13" s="86" t="s">
        <v>139</v>
      </c>
      <c r="G13" s="87" t="s">
        <v>140</v>
      </c>
      <c r="H13" s="78"/>
    </row>
    <row r="14" spans="1:38" ht="57">
      <c r="A14" s="88" t="s">
        <v>141</v>
      </c>
      <c r="B14" s="76">
        <v>24</v>
      </c>
      <c r="C14" s="89" t="s">
        <v>96</v>
      </c>
      <c r="D14" s="90" t="s">
        <v>142</v>
      </c>
      <c r="E14" s="91">
        <v>6733</v>
      </c>
      <c r="F14" s="86" t="s">
        <v>143</v>
      </c>
      <c r="G14" s="86" t="s">
        <v>144</v>
      </c>
      <c r="H14" s="78"/>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各年度歸入權案件進行概況</vt:lpstr>
      <vt:lpstr>各年度未結案件重大金額明細表</vt:lpstr>
      <vt:lpstr>各年度有關公司內部人不予歸入案件</vt:lpstr>
      <vt:lpstr>各年度歸入權案件進行概況!Print_Area</vt:lpstr>
      <vt:lpstr>各年度未結案件重大金額明細表!Print_Titles</vt:lpstr>
      <vt:lpstr>各年度歸入權案件進行概況!Print_Titles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劉巧郁</dc:creator>
  <cp:lastModifiedBy>蔡雅雯yvonne</cp:lastModifiedBy>
  <dcterms:created xsi:type="dcterms:W3CDTF">2014-07-08T02:02:24Z</dcterms:created>
  <dcterms:modified xsi:type="dcterms:W3CDTF">2014-07-14T06:54:33Z</dcterms:modified>
</cp:coreProperties>
</file>